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hidePivotFieldList="1" defaultThemeVersion="124226"/>
  <mc:AlternateContent xmlns:mc="http://schemas.openxmlformats.org/markup-compatibility/2006">
    <mc:Choice Requires="x15">
      <x15ac:absPath xmlns:x15ac="http://schemas.microsoft.com/office/spreadsheetml/2010/11/ac" url="C:\Users\yperez\Downloads\"/>
    </mc:Choice>
  </mc:AlternateContent>
  <xr:revisionPtr revIDLastSave="0" documentId="13_ncr:1_{5A505F9F-C879-4A55-8E38-938438AF84C6}" xr6:coauthVersionLast="47" xr6:coauthVersionMax="47" xr10:uidLastSave="{00000000-0000-0000-0000-000000000000}"/>
  <bookViews>
    <workbookView xWindow="-120" yWindow="-120" windowWidth="29040" windowHeight="1584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Hoja2" sheetId="21" r:id="rId8"/>
    <sheet name="Opciones Tratamiento" sheetId="16" state="hidden" r:id="rId9"/>
    <sheet name="Hoja1" sheetId="11" state="hidden" r:id="rId10"/>
  </sheets>
  <calcPr calcId="191029"/>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 r="D1" i="21" l="1"/>
  <c r="U10" i="1" l="1"/>
  <c r="R10" i="1"/>
  <c r="I10" i="1"/>
  <c r="J10" i="1" s="1"/>
  <c r="L21" i="1"/>
  <c r="L20" i="1"/>
  <c r="L18" i="1"/>
  <c r="L29" i="1"/>
  <c r="L30" i="1"/>
  <c r="L15" i="1"/>
  <c r="L24" i="1"/>
  <c r="L17" i="1"/>
  <c r="L14" i="1"/>
  <c r="L23" i="1"/>
  <c r="L26" i="1"/>
  <c r="L27" i="1"/>
  <c r="F221" i="13" l="1"/>
  <c r="F211" i="13"/>
  <c r="F212" i="13"/>
  <c r="F213" i="13"/>
  <c r="F214" i="13"/>
  <c r="F215" i="13"/>
  <c r="F216" i="13"/>
  <c r="F217" i="13"/>
  <c r="F218" i="13"/>
  <c r="F219" i="13"/>
  <c r="F220" i="13"/>
  <c r="F210" i="13"/>
  <c r="B221" i="13" a="1"/>
  <c r="L11" i="1"/>
  <c r="L12" i="1"/>
  <c r="B221" i="13" l="1"/>
  <c r="R23"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U30" i="1" l="1"/>
  <c r="R30" i="1"/>
  <c r="U29" i="1"/>
  <c r="R29" i="1"/>
  <c r="U28" i="1"/>
  <c r="R28" i="1"/>
  <c r="I28" i="1"/>
  <c r="J28" i="1" s="1"/>
  <c r="U27" i="1"/>
  <c r="R27" i="1"/>
  <c r="U26" i="1"/>
  <c r="R26" i="1"/>
  <c r="U25" i="1"/>
  <c r="R25" i="1"/>
  <c r="I25" i="1"/>
  <c r="J25" i="1" s="1"/>
  <c r="U24" i="1"/>
  <c r="R24" i="1"/>
  <c r="U23" i="1"/>
  <c r="U22" i="1"/>
  <c r="R22" i="1"/>
  <c r="I22" i="1"/>
  <c r="J22" i="1" s="1"/>
  <c r="U21" i="1"/>
  <c r="R21" i="1"/>
  <c r="U20" i="1"/>
  <c r="R20" i="1"/>
  <c r="U19" i="1"/>
  <c r="R19" i="1"/>
  <c r="I19" i="1"/>
  <c r="J19" i="1" s="1"/>
  <c r="U16" i="1"/>
  <c r="R16" i="1"/>
  <c r="I16" i="1"/>
  <c r="J16" i="1" s="1"/>
  <c r="I13" i="1"/>
  <c r="U15" i="1"/>
  <c r="R15" i="1"/>
  <c r="U14" i="1"/>
  <c r="R14" i="1"/>
  <c r="U13" i="1"/>
  <c r="R13" i="1"/>
  <c r="AC29" i="1" l="1"/>
  <c r="AC20" i="1"/>
  <c r="AC14" i="1"/>
  <c r="J13" i="1"/>
  <c r="Y13" i="1" s="1"/>
  <c r="Y28" i="1"/>
  <c r="Y25" i="1"/>
  <c r="Y22" i="1"/>
  <c r="Y19" i="1"/>
  <c r="Y16" i="1"/>
  <c r="Z28" i="1" l="1"/>
  <c r="AA28" i="1"/>
  <c r="Y29" i="1" s="1"/>
  <c r="Z29" i="1" s="1"/>
  <c r="Z25" i="1"/>
  <c r="AA25" i="1"/>
  <c r="Y26" i="1" s="1"/>
  <c r="AA26" i="1" s="1"/>
  <c r="Y27" i="1" s="1"/>
  <c r="Z22" i="1"/>
  <c r="AA22" i="1"/>
  <c r="Y23" i="1" s="1"/>
  <c r="AA23" i="1" s="1"/>
  <c r="Y24" i="1" s="1"/>
  <c r="Z19" i="1"/>
  <c r="AA19" i="1"/>
  <c r="Y20" i="1" s="1"/>
  <c r="AA20" i="1" s="1"/>
  <c r="Y21" i="1" s="1"/>
  <c r="Z21" i="1" s="1"/>
  <c r="Z16" i="1"/>
  <c r="AA16" i="1"/>
  <c r="Y17" i="1" s="1"/>
  <c r="Z13" i="1"/>
  <c r="AA13" i="1"/>
  <c r="Y14" i="1" s="1"/>
  <c r="Z26" i="1" l="1"/>
  <c r="Y18" i="1"/>
  <c r="Z23" i="1"/>
  <c r="Z20" i="1"/>
  <c r="Z24" i="1"/>
  <c r="AA24" i="1"/>
  <c r="AA27" i="1"/>
  <c r="Z27" i="1"/>
  <c r="AA29" i="1"/>
  <c r="Y30" i="1" s="1"/>
  <c r="AA21"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U11" i="1"/>
  <c r="U12" i="1"/>
  <c r="Z30" i="1" l="1"/>
  <c r="AA30" i="1"/>
  <c r="Z14" i="1"/>
  <c r="AA14" i="1"/>
  <c r="Y15" i="1" s="1"/>
  <c r="Z15" i="1" s="1"/>
  <c r="AA15" i="1" l="1"/>
  <c r="R12" i="1"/>
  <c r="Y10" i="1" l="1"/>
  <c r="Z10" i="1" s="1"/>
  <c r="R11" i="1" l="1"/>
  <c r="AC11" i="1" s="1"/>
  <c r="AA10" i="1" l="1"/>
  <c r="Y11" i="1" s="1"/>
  <c r="Z11" i="1" l="1"/>
  <c r="AA11" i="1" l="1"/>
  <c r="Y12" i="1" s="1"/>
  <c r="Z12" i="1" s="1"/>
  <c r="AA12" i="1" l="1"/>
  <c r="AC30" i="1" l="1"/>
  <c r="AB29" i="1" l="1"/>
  <c r="AC12" i="1"/>
  <c r="AB11" i="1"/>
  <c r="AB30" i="1"/>
  <c r="AC24" i="1"/>
  <c r="AB24" i="1" s="1"/>
  <c r="AC15" i="1"/>
  <c r="AB14" i="1"/>
  <c r="AC27" i="1"/>
  <c r="AB20" i="1"/>
  <c r="AC21" i="1"/>
  <c r="W37" i="19" l="1"/>
  <c r="AI7" i="19"/>
  <c r="W17" i="19"/>
  <c r="W27" i="19"/>
  <c r="Q47" i="19"/>
  <c r="W7" i="19"/>
  <c r="AI17" i="19"/>
  <c r="K47" i="19"/>
  <c r="AI47" i="19"/>
  <c r="Q27" i="19"/>
  <c r="AC27" i="19"/>
  <c r="AC47" i="19"/>
  <c r="AC37" i="19"/>
  <c r="AI37" i="19"/>
  <c r="AD14" i="1"/>
  <c r="AC17" i="19"/>
  <c r="K37" i="19"/>
  <c r="AC7" i="19"/>
  <c r="W47" i="19"/>
  <c r="Q37" i="19"/>
  <c r="AI27" i="19"/>
  <c r="Q7" i="19"/>
  <c r="K27" i="19"/>
  <c r="K17" i="19"/>
  <c r="K7" i="19"/>
  <c r="Q17" i="19"/>
  <c r="K35" i="19"/>
  <c r="AC25" i="19"/>
  <c r="K45" i="19"/>
  <c r="AI45" i="19"/>
  <c r="W45" i="19"/>
  <c r="Q35" i="19"/>
  <c r="K55" i="19"/>
  <c r="AC15" i="19"/>
  <c r="Q15" i="19"/>
  <c r="AC35" i="19"/>
  <c r="AI35" i="19"/>
  <c r="Q55" i="19"/>
  <c r="AI25" i="19"/>
  <c r="AD29" i="1"/>
  <c r="AC55" i="19"/>
  <c r="W15" i="19"/>
  <c r="K15" i="19"/>
  <c r="W25" i="19"/>
  <c r="AC45" i="19"/>
  <c r="Q25" i="19"/>
  <c r="W55" i="19"/>
  <c r="K25" i="19"/>
  <c r="Q45" i="19"/>
  <c r="W35" i="19"/>
  <c r="AI55" i="19"/>
  <c r="AI15" i="19"/>
  <c r="AD55" i="19"/>
  <c r="R15" i="19"/>
  <c r="AJ35" i="19"/>
  <c r="AD30" i="1"/>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AD24" i="1"/>
  <c r="L41" i="19"/>
  <c r="AD11" i="19"/>
  <c r="L21" i="19"/>
  <c r="L11" i="19"/>
  <c r="X51" i="19"/>
  <c r="X21" i="19"/>
  <c r="R11" i="19"/>
  <c r="R31" i="19"/>
  <c r="AJ41" i="19"/>
  <c r="L31" i="19"/>
  <c r="R51" i="19"/>
  <c r="X31" i="19"/>
  <c r="X11" i="19"/>
  <c r="X41" i="19"/>
  <c r="AJ31" i="19"/>
  <c r="AD51" i="19"/>
  <c r="R41" i="19"/>
  <c r="AD21" i="19"/>
  <c r="L51" i="19"/>
  <c r="AB15" i="1"/>
  <c r="AB21" i="1"/>
  <c r="AD11"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7" i="1"/>
  <c r="K39" i="19"/>
  <c r="AC39" i="19"/>
  <c r="W29" i="19"/>
  <c r="AI49" i="19"/>
  <c r="W9" i="19"/>
  <c r="AC19" i="19"/>
  <c r="Q49" i="19"/>
  <c r="W49" i="19"/>
  <c r="AC9" i="19"/>
  <c r="AI9" i="19"/>
  <c r="Q29" i="19"/>
  <c r="W39" i="19"/>
  <c r="Q39" i="19"/>
  <c r="AD20"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B12"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D47" i="19"/>
  <c r="AJ27" i="19"/>
  <c r="AD27" i="19"/>
  <c r="AJ7" i="19"/>
  <c r="AJ37" i="19"/>
  <c r="L27" i="19"/>
  <c r="AD17" i="19"/>
  <c r="L37" i="19"/>
  <c r="R17" i="19"/>
  <c r="AJ17" i="19"/>
  <c r="X7" i="19"/>
  <c r="X47" i="19"/>
  <c r="L7" i="19"/>
  <c r="L17" i="19"/>
  <c r="R27" i="19"/>
  <c r="X27" i="19"/>
  <c r="R7" i="19"/>
  <c r="X17" i="19"/>
  <c r="AJ47" i="19"/>
  <c r="L47" i="19"/>
  <c r="R37" i="19"/>
  <c r="AD7" i="19"/>
  <c r="X37" i="19"/>
  <c r="AD15" i="1"/>
  <c r="R47" i="19"/>
  <c r="AD37"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AD12" i="1"/>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AD27" i="1"/>
  <c r="X34" i="19"/>
  <c r="L14" i="19"/>
  <c r="AD14" i="19"/>
  <c r="L44" i="19"/>
  <c r="R44" i="19"/>
  <c r="AD54" i="19"/>
  <c r="X14" i="19"/>
  <c r="AJ44" i="19"/>
  <c r="R34" i="19"/>
  <c r="AJ54" i="19"/>
  <c r="L24" i="19"/>
  <c r="AD29" i="19"/>
  <c r="AD19" i="19"/>
  <c r="R39" i="19"/>
  <c r="R9" i="19"/>
  <c r="X49" i="19"/>
  <c r="X9" i="19"/>
  <c r="AD39" i="19"/>
  <c r="R29" i="19"/>
  <c r="L49" i="19"/>
  <c r="X19" i="19"/>
  <c r="X29" i="19"/>
  <c r="X39" i="19"/>
  <c r="L9" i="19"/>
  <c r="AD21" i="1"/>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L22" i="1" l="1"/>
  <c r="M22" i="1" s="1"/>
  <c r="L10" i="1"/>
  <c r="M10" i="1" s="1"/>
  <c r="L19" i="1"/>
  <c r="M19" i="1" s="1"/>
  <c r="L16" i="1"/>
  <c r="M16" i="1" s="1"/>
  <c r="L13" i="1"/>
  <c r="M13" i="1" s="1"/>
  <c r="L28" i="1"/>
  <c r="M28" i="1" s="1"/>
  <c r="L25" i="1"/>
  <c r="M25" i="1" s="1"/>
  <c r="X6" i="18" l="1"/>
  <c r="AJ30" i="18"/>
  <c r="R22" i="18"/>
  <c r="L6" i="18"/>
  <c r="R30" i="18"/>
  <c r="X22" i="18"/>
  <c r="X38" i="18"/>
  <c r="AD38" i="18"/>
  <c r="O13" i="1"/>
  <c r="AD22" i="18"/>
  <c r="N13" i="1"/>
  <c r="AC13" i="1" s="1"/>
  <c r="AB13"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L32" i="18"/>
  <c r="X8" i="18"/>
  <c r="X24" i="18"/>
  <c r="AJ8" i="18"/>
  <c r="R40" i="18"/>
  <c r="L40" i="18"/>
  <c r="X16" i="18"/>
  <c r="L24" i="18"/>
  <c r="AJ24" i="18"/>
  <c r="X32" i="18"/>
  <c r="AJ40" i="18"/>
  <c r="R16" i="18"/>
  <c r="AD40" i="18"/>
  <c r="AD32" i="18"/>
  <c r="AD16" i="18"/>
  <c r="J42" i="18"/>
  <c r="P34" i="18"/>
  <c r="AB18" i="18"/>
  <c r="AB42" i="18"/>
  <c r="AH34" i="18"/>
  <c r="P10" i="18"/>
  <c r="V34" i="18"/>
  <c r="P42" i="18"/>
  <c r="V42" i="18"/>
  <c r="AH42" i="18"/>
  <c r="AB26" i="18"/>
  <c r="AH26" i="18"/>
  <c r="V26" i="18"/>
  <c r="AB34" i="18"/>
  <c r="V10" i="18"/>
  <c r="AH18" i="18"/>
  <c r="J34" i="18"/>
  <c r="J10" i="18"/>
  <c r="AB10" i="18"/>
  <c r="J18" i="18"/>
  <c r="P26" i="18"/>
  <c r="J26" i="18"/>
  <c r="AH10" i="18"/>
  <c r="P18" i="18"/>
  <c r="V18" i="18"/>
  <c r="X42" i="18"/>
  <c r="AD34" i="18"/>
  <c r="AD10" i="18"/>
  <c r="AD26" i="18"/>
  <c r="L10" i="18"/>
  <c r="L42" i="18"/>
  <c r="L26" i="18"/>
  <c r="X18" i="18"/>
  <c r="X34" i="18"/>
  <c r="X10" i="18"/>
  <c r="R18" i="18"/>
  <c r="AJ10" i="18"/>
  <c r="AD42" i="18"/>
  <c r="AJ34" i="18"/>
  <c r="R26" i="18"/>
  <c r="L18" i="18"/>
  <c r="AJ26" i="18"/>
  <c r="AD18" i="18"/>
  <c r="R34" i="18"/>
  <c r="L34" i="18"/>
  <c r="AJ42" i="18"/>
  <c r="R10" i="18"/>
  <c r="R42" i="18"/>
  <c r="X26" i="18"/>
  <c r="AJ18" i="18"/>
  <c r="T14" i="18"/>
  <c r="AL38" i="18"/>
  <c r="N14" i="18"/>
  <c r="Z6" i="18"/>
  <c r="T38" i="18"/>
  <c r="T22" i="18"/>
  <c r="AL14" i="18"/>
  <c r="N22" i="18"/>
  <c r="O16" i="1"/>
  <c r="AF22" i="18"/>
  <c r="N6" i="18"/>
  <c r="AF6" i="18"/>
  <c r="AF38" i="18"/>
  <c r="N16" i="1"/>
  <c r="AC16" i="1" s="1"/>
  <c r="AB16" i="1" s="1"/>
  <c r="N38" i="18"/>
  <c r="AL30" i="18"/>
  <c r="AL22" i="18"/>
  <c r="T6" i="18"/>
  <c r="AF14" i="18"/>
  <c r="AF30" i="18"/>
  <c r="Z22" i="18"/>
  <c r="T30" i="18"/>
  <c r="Z30" i="18"/>
  <c r="AL6" i="18"/>
  <c r="Z14" i="18"/>
  <c r="Z38" i="18"/>
  <c r="N30" i="18"/>
  <c r="J40" i="18"/>
  <c r="AB40" i="18"/>
  <c r="AH32" i="18"/>
  <c r="AB24" i="18"/>
  <c r="V16" i="18"/>
  <c r="N19" i="1"/>
  <c r="AC19" i="1" s="1"/>
  <c r="AB19" i="1" s="1"/>
  <c r="J16" i="18"/>
  <c r="P32" i="18"/>
  <c r="V24" i="18"/>
  <c r="P24" i="18"/>
  <c r="V40" i="18"/>
  <c r="P16" i="18"/>
  <c r="P40" i="18"/>
  <c r="V32" i="18"/>
  <c r="AH16" i="18"/>
  <c r="AB16" i="18"/>
  <c r="V8" i="18"/>
  <c r="AH24" i="18"/>
  <c r="AH8" i="18"/>
  <c r="AH40" i="18"/>
  <c r="J8" i="18"/>
  <c r="AB32" i="18"/>
  <c r="AB8" i="18"/>
  <c r="J24" i="18"/>
  <c r="J32" i="18"/>
  <c r="P8" i="18"/>
  <c r="O19" i="1"/>
  <c r="Z42" i="18"/>
  <c r="T18" i="18"/>
  <c r="AF34" i="18"/>
  <c r="AF42" i="18"/>
  <c r="N42" i="18"/>
  <c r="Z18" i="18"/>
  <c r="AL10" i="18"/>
  <c r="AL26" i="18"/>
  <c r="AF26" i="18"/>
  <c r="Z10" i="18"/>
  <c r="N18" i="18"/>
  <c r="T26" i="18"/>
  <c r="AF10" i="18"/>
  <c r="T34" i="18"/>
  <c r="N26" i="18"/>
  <c r="AL18" i="18"/>
  <c r="N10" i="18"/>
  <c r="AF18" i="18"/>
  <c r="Z26" i="18"/>
  <c r="AL34" i="18"/>
  <c r="N25" i="1"/>
  <c r="Z34" i="18"/>
  <c r="T10" i="18"/>
  <c r="O25" i="1"/>
  <c r="AL42" i="18"/>
  <c r="N34" i="18"/>
  <c r="T42" i="18"/>
  <c r="P14" i="18"/>
  <c r="V22" i="18"/>
  <c r="V14" i="18"/>
  <c r="P22" i="18"/>
  <c r="V38" i="18"/>
  <c r="AH14" i="18"/>
  <c r="AH38" i="18"/>
  <c r="J14" i="18"/>
  <c r="AB22" i="18"/>
  <c r="V30" i="18"/>
  <c r="AB14" i="18"/>
  <c r="AB38" i="18"/>
  <c r="J30" i="18"/>
  <c r="P38" i="18"/>
  <c r="AB6" i="18"/>
  <c r="N10" i="1"/>
  <c r="AC10" i="1" s="1"/>
  <c r="AB10" i="1" s="1"/>
  <c r="AH30" i="18"/>
  <c r="J38" i="18"/>
  <c r="AH6" i="18"/>
  <c r="V6" i="18"/>
  <c r="AB30" i="18"/>
  <c r="J22" i="18"/>
  <c r="J6" i="18"/>
  <c r="P30" i="18"/>
  <c r="AH22" i="18"/>
  <c r="P6" i="18"/>
  <c r="O10" i="1"/>
  <c r="AH12" i="18"/>
  <c r="J20" i="18"/>
  <c r="J44" i="18"/>
  <c r="AB28" i="18"/>
  <c r="P28" i="18"/>
  <c r="O28" i="1"/>
  <c r="P12" i="18"/>
  <c r="AH20" i="18"/>
  <c r="P44" i="18"/>
  <c r="AB12" i="18"/>
  <c r="P20" i="18"/>
  <c r="J36" i="18"/>
  <c r="P36" i="18"/>
  <c r="AB44" i="18"/>
  <c r="V44" i="18"/>
  <c r="J28" i="18"/>
  <c r="AH36" i="18"/>
  <c r="V12" i="18"/>
  <c r="V28" i="18"/>
  <c r="AH44" i="18"/>
  <c r="AB20" i="18"/>
  <c r="AB36" i="18"/>
  <c r="AH28" i="18"/>
  <c r="V36" i="18"/>
  <c r="V20" i="18"/>
  <c r="N28" i="1"/>
  <c r="AC28" i="1" s="1"/>
  <c r="AB28" i="1" s="1"/>
  <c r="J12" i="18"/>
  <c r="AF24" i="18"/>
  <c r="AF32" i="18"/>
  <c r="T40" i="18"/>
  <c r="N22" i="1"/>
  <c r="AC22" i="1" s="1"/>
  <c r="Z40" i="18"/>
  <c r="AL8" i="18"/>
  <c r="AF8" i="18"/>
  <c r="T8" i="18"/>
  <c r="Z16" i="18"/>
  <c r="T24" i="18"/>
  <c r="AL24" i="18"/>
  <c r="Z32" i="18"/>
  <c r="N32" i="18"/>
  <c r="N16" i="18"/>
  <c r="Z8" i="18"/>
  <c r="AL40" i="18"/>
  <c r="N8" i="18"/>
  <c r="N24" i="18"/>
  <c r="T32" i="18"/>
  <c r="T16" i="18"/>
  <c r="AF40" i="18"/>
  <c r="AF16" i="18"/>
  <c r="AL32" i="18"/>
  <c r="N40" i="18"/>
  <c r="Z24" i="18"/>
  <c r="AL16" i="18"/>
  <c r="O22" i="1"/>
  <c r="AC25" i="1" l="1"/>
  <c r="AB25" i="1" s="1"/>
  <c r="V34" i="19" s="1"/>
  <c r="AC26" i="1"/>
  <c r="AB26" i="1" s="1"/>
  <c r="AB22" i="1"/>
  <c r="AH11" i="19" s="1"/>
  <c r="AC23" i="1"/>
  <c r="AB23" i="1" s="1"/>
  <c r="J32" i="19"/>
  <c r="P33" i="19"/>
  <c r="V53" i="19"/>
  <c r="AH33" i="19"/>
  <c r="V13" i="19"/>
  <c r="AB23" i="19"/>
  <c r="AH23" i="19"/>
  <c r="J23" i="19"/>
  <c r="AB43" i="19"/>
  <c r="P43" i="19"/>
  <c r="J43" i="19"/>
  <c r="AH43" i="19"/>
  <c r="P53" i="19"/>
  <c r="J13" i="19"/>
  <c r="J33" i="19"/>
  <c r="P23" i="19"/>
  <c r="AB53" i="19"/>
  <c r="P13" i="19"/>
  <c r="V23" i="19"/>
  <c r="AH13" i="19"/>
  <c r="AH53" i="19"/>
  <c r="V33" i="19"/>
  <c r="J53" i="19"/>
  <c r="V43" i="19"/>
  <c r="AB33" i="19"/>
  <c r="AB13" i="19"/>
  <c r="V10" i="19"/>
  <c r="P19" i="19"/>
  <c r="AH49" i="19"/>
  <c r="J9" i="19"/>
  <c r="AH9" i="19"/>
  <c r="P49" i="19"/>
  <c r="V49" i="19"/>
  <c r="AH29" i="19"/>
  <c r="P9" i="19"/>
  <c r="V9" i="19"/>
  <c r="AD19" i="1"/>
  <c r="AH39" i="19"/>
  <c r="AH19" i="19"/>
  <c r="AB19" i="19"/>
  <c r="V39" i="19"/>
  <c r="J39" i="19"/>
  <c r="V19" i="19"/>
  <c r="AB39" i="19"/>
  <c r="P39" i="19"/>
  <c r="J19" i="19"/>
  <c r="AB49" i="19"/>
  <c r="AB9" i="19"/>
  <c r="J29" i="19"/>
  <c r="V29" i="19"/>
  <c r="P29" i="19"/>
  <c r="AB29" i="19"/>
  <c r="J49" i="19"/>
  <c r="P48" i="19"/>
  <c r="V18" i="19"/>
  <c r="P18" i="19"/>
  <c r="AH48" i="19"/>
  <c r="AB38" i="19"/>
  <c r="AB18" i="19"/>
  <c r="AH8" i="19"/>
  <c r="P28" i="19"/>
  <c r="P8" i="19"/>
  <c r="V8" i="19"/>
  <c r="V28" i="19"/>
  <c r="AB8" i="19"/>
  <c r="V48" i="19"/>
  <c r="J8" i="19"/>
  <c r="AB28" i="19"/>
  <c r="P38" i="19"/>
  <c r="AB48" i="19"/>
  <c r="J28" i="19"/>
  <c r="V38" i="19"/>
  <c r="AH38" i="19"/>
  <c r="AH18" i="19"/>
  <c r="AD16" i="1"/>
  <c r="J18" i="19"/>
  <c r="J38" i="19"/>
  <c r="J48" i="19"/>
  <c r="AH28" i="19"/>
  <c r="V47" i="19"/>
  <c r="AB7" i="19"/>
  <c r="AB17" i="19"/>
  <c r="AH7" i="19"/>
  <c r="AH27" i="19"/>
  <c r="J17" i="19"/>
  <c r="J37" i="19"/>
  <c r="V7" i="19"/>
  <c r="P27" i="19"/>
  <c r="J7" i="19"/>
  <c r="P47" i="19"/>
  <c r="AB27" i="19"/>
  <c r="AD13" i="1"/>
  <c r="J27" i="19"/>
  <c r="AH37" i="19"/>
  <c r="P17" i="19"/>
  <c r="V17" i="19"/>
  <c r="AH47" i="19"/>
  <c r="P37" i="19"/>
  <c r="J47" i="19"/>
  <c r="V27" i="19"/>
  <c r="AB47" i="19"/>
  <c r="AB37" i="19"/>
  <c r="V37" i="19"/>
  <c r="AH17" i="19"/>
  <c r="P7" i="19"/>
  <c r="P16" i="19"/>
  <c r="P6" i="19"/>
  <c r="AH6" i="19"/>
  <c r="V46" i="19"/>
  <c r="AH46" i="19"/>
  <c r="AB46" i="19"/>
  <c r="J6" i="19"/>
  <c r="P46" i="19"/>
  <c r="AB26" i="19"/>
  <c r="AB16" i="19"/>
  <c r="AH26" i="19"/>
  <c r="J16" i="19"/>
  <c r="V26" i="19"/>
  <c r="AH36" i="19"/>
  <c r="P26" i="19"/>
  <c r="V16" i="19"/>
  <c r="V36" i="19"/>
  <c r="AD10" i="1"/>
  <c r="AH16" i="19"/>
  <c r="V6" i="19"/>
  <c r="AB36" i="19"/>
  <c r="AB6" i="19"/>
  <c r="P36" i="19"/>
  <c r="J36" i="19"/>
  <c r="J26" i="19"/>
  <c r="J46" i="19"/>
  <c r="V25" i="19"/>
  <c r="V45" i="19"/>
  <c r="J15" i="19"/>
  <c r="AB45" i="19"/>
  <c r="AH25" i="19"/>
  <c r="AH55" i="19"/>
  <c r="AB15" i="19"/>
  <c r="P15" i="19"/>
  <c r="P45" i="19"/>
  <c r="V15" i="19"/>
  <c r="J35" i="19"/>
  <c r="AH45" i="19"/>
  <c r="J25" i="19"/>
  <c r="AB35" i="19"/>
  <c r="AH15" i="19"/>
  <c r="V35" i="19"/>
  <c r="J55" i="19"/>
  <c r="AB55" i="19"/>
  <c r="AD28" i="1"/>
  <c r="AB25" i="19"/>
  <c r="AH35" i="19"/>
  <c r="P55" i="19"/>
  <c r="J45" i="19"/>
  <c r="P25" i="19"/>
  <c r="P35" i="19"/>
  <c r="V55" i="19"/>
  <c r="J24" i="19" l="1"/>
  <c r="AB54" i="19"/>
  <c r="AB14" i="19"/>
  <c r="J44" i="19"/>
  <c r="AH24" i="19"/>
  <c r="V54" i="19"/>
  <c r="J14" i="19"/>
  <c r="AH44" i="19"/>
  <c r="V14" i="19"/>
  <c r="V44" i="19"/>
  <c r="AB24" i="19"/>
  <c r="V24" i="19"/>
  <c r="AD25" i="1"/>
  <c r="AH54" i="19"/>
  <c r="J34" i="19"/>
  <c r="V22" i="19"/>
  <c r="P34" i="19"/>
  <c r="P14" i="19"/>
  <c r="P44" i="19"/>
  <c r="AH52" i="19"/>
  <c r="AH14" i="19"/>
  <c r="AB34" i="19"/>
  <c r="AB44" i="19"/>
  <c r="AH51" i="19"/>
  <c r="AB21" i="19"/>
  <c r="AH34" i="19"/>
  <c r="J54" i="19"/>
  <c r="AB11" i="19"/>
  <c r="AB31" i="19"/>
  <c r="V31" i="19"/>
  <c r="P24" i="19"/>
  <c r="P54" i="19"/>
  <c r="AH41" i="19"/>
  <c r="J51" i="19"/>
  <c r="V11" i="19"/>
  <c r="AB51" i="19"/>
  <c r="J21" i="19"/>
  <c r="V41" i="19"/>
  <c r="W24" i="19"/>
  <c r="W14" i="19"/>
  <c r="K24" i="19"/>
  <c r="AC24" i="19"/>
  <c r="AI44" i="19"/>
  <c r="AI24" i="19"/>
  <c r="W44" i="19"/>
  <c r="Q44" i="19"/>
  <c r="AC54" i="19"/>
  <c r="AD26" i="1"/>
  <c r="Q34" i="19"/>
  <c r="K14" i="19"/>
  <c r="Q54" i="19"/>
  <c r="K34" i="19"/>
  <c r="AI14" i="19"/>
  <c r="AC44" i="19"/>
  <c r="K44" i="19"/>
  <c r="AC14" i="19"/>
  <c r="Q14" i="19"/>
  <c r="AI54" i="19"/>
  <c r="W54" i="19"/>
  <c r="K54" i="19"/>
  <c r="Q24" i="19"/>
  <c r="AC34" i="19"/>
  <c r="AI34" i="19"/>
  <c r="W34" i="19"/>
  <c r="P51" i="19"/>
  <c r="AH21" i="19"/>
  <c r="P41" i="19"/>
  <c r="V51" i="19"/>
  <c r="J11" i="19"/>
  <c r="P11" i="19"/>
  <c r="AB41" i="19"/>
  <c r="AH31" i="19"/>
  <c r="V21" i="19"/>
  <c r="J41" i="19"/>
  <c r="J31" i="19"/>
  <c r="AD22" i="1"/>
  <c r="P21" i="19"/>
  <c r="P31" i="19"/>
  <c r="P52" i="19"/>
  <c r="P12" i="19"/>
  <c r="P22" i="19"/>
  <c r="AI41" i="19"/>
  <c r="K11" i="19"/>
  <c r="W21" i="19"/>
  <c r="AC11" i="19"/>
  <c r="AD23" i="1"/>
  <c r="Q21" i="19"/>
  <c r="K51" i="19"/>
  <c r="K21" i="19"/>
  <c r="AI31" i="19"/>
  <c r="W11" i="19"/>
  <c r="AC31" i="19"/>
  <c r="Q11" i="19"/>
  <c r="AC21" i="19"/>
  <c r="AI21" i="19"/>
  <c r="Q41" i="19"/>
  <c r="Q51" i="19"/>
  <c r="AC51" i="19"/>
  <c r="W31" i="19"/>
  <c r="AI51" i="19"/>
  <c r="W41" i="19"/>
  <c r="K41" i="19"/>
  <c r="AI11" i="19"/>
  <c r="AC41" i="19"/>
  <c r="K31" i="19"/>
  <c r="W51" i="19"/>
  <c r="Q31" i="19"/>
  <c r="J12" i="19"/>
  <c r="P42" i="19"/>
  <c r="AB22" i="19"/>
  <c r="V12" i="19"/>
  <c r="V52" i="19"/>
  <c r="AH12" i="19"/>
  <c r="V42" i="19"/>
  <c r="AH32" i="19"/>
  <c r="AB12" i="19"/>
  <c r="P32" i="19"/>
  <c r="AH22" i="19"/>
  <c r="AH42" i="19"/>
  <c r="AB42" i="19"/>
  <c r="V32" i="19"/>
  <c r="AB52" i="19"/>
  <c r="AB32" i="19"/>
  <c r="J42" i="19"/>
  <c r="J22" i="19"/>
  <c r="J52" i="19"/>
  <c r="K22" i="19"/>
  <c r="K52" i="19"/>
  <c r="Q22" i="19"/>
  <c r="W12" i="19"/>
  <c r="AI32" i="19"/>
  <c r="W22" i="19"/>
  <c r="Q32" i="19"/>
  <c r="AC22" i="19"/>
  <c r="W52" i="19"/>
  <c r="AI42" i="19"/>
  <c r="W32" i="19"/>
  <c r="AI22" i="19"/>
  <c r="Q12" i="19"/>
  <c r="Q52" i="19"/>
  <c r="AC32" i="19"/>
  <c r="W42" i="19"/>
  <c r="K32" i="19"/>
  <c r="AI12" i="19"/>
  <c r="AC42" i="19"/>
  <c r="K12" i="19"/>
  <c r="AC12" i="19"/>
  <c r="AC52" i="19"/>
  <c r="Q42" i="19"/>
  <c r="K42" i="19"/>
  <c r="AI52" i="19"/>
  <c r="AH20" i="19"/>
  <c r="AH40" i="19"/>
  <c r="P30" i="19"/>
  <c r="AB30" i="19"/>
  <c r="V40" i="19"/>
  <c r="P40" i="19"/>
  <c r="AH10" i="19"/>
  <c r="J50" i="19"/>
  <c r="J20" i="19"/>
  <c r="V30" i="19"/>
  <c r="AB20" i="19"/>
  <c r="J40" i="19"/>
  <c r="J10" i="19"/>
  <c r="AB50" i="19"/>
  <c r="P20" i="19"/>
  <c r="AH30" i="19"/>
  <c r="P50" i="19"/>
  <c r="P10" i="19"/>
  <c r="AH50" i="19"/>
  <c r="AB10" i="19"/>
  <c r="V20" i="19"/>
  <c r="V50" i="19"/>
  <c r="J30" i="19"/>
  <c r="AB40" i="19"/>
  <c r="K20" i="19"/>
  <c r="AC10" i="19"/>
  <c r="AC40" i="19"/>
  <c r="AI10" i="19"/>
  <c r="W10" i="19"/>
  <c r="AC20" i="19"/>
  <c r="W30" i="19"/>
  <c r="Q20" i="19"/>
  <c r="Q50" i="19"/>
  <c r="Q40" i="19"/>
  <c r="K30" i="19"/>
  <c r="AI50" i="19"/>
  <c r="AI40" i="19"/>
  <c r="AC50" i="19"/>
  <c r="AI30" i="19"/>
  <c r="W50" i="19"/>
  <c r="K10" i="19"/>
  <c r="AI20" i="19"/>
  <c r="W40" i="19"/>
  <c r="Q10" i="19"/>
  <c r="AC30" i="19"/>
  <c r="Q30" i="19"/>
  <c r="K40" i="19"/>
  <c r="W20" i="19"/>
  <c r="K5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<sst xmlns="http://schemas.openxmlformats.org/spreadsheetml/2006/main" count="416" uniqueCount="257">
  <si>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</si>
  <si>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</si>
  <si>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</si>
  <si>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</si>
  <si>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</si>
  <si>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</si>
  <si>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</si>
  <si>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</si>
  <si>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</si>
  <si>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</si>
  <si>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</si>
  <si>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</si>
  <si>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</si>
  <si>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</si>
  <si>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</si>
  <si>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</si>
  <si>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</si>
  <si>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</si>
  <si>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</si>
  <si>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</si>
  <si>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</si>
  <si>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</si>
  <si>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</si>
  <si>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</si>
  <si>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</si>
  <si>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</si>
  <si>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</si>
  <si>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</si>
  <si>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</si>
  <si>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</si>
  <si>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</si>
  <si>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</si>
  <si>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</si>
  <si>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</si>
  <si>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</si>
  <si>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</si>
  <si>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</si>
  <si>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</si>
  <si>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</si>
  <si>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</si>
  <si>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</si>
  <si>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</si>
  <si>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</si>
  <si>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</si>
  <si>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</si>
  <si>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</si>
  <si>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</si>
  <si>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</si>
  <si>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</si>
  <si>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</si>
  <si>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</si>
  <si>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</si>
  <si>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</si>
  <si>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</si>
  <si>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</si>
  <si>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</si>
  <si>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</si>
  <si>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</si>
  <si>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</si>
  <si>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</si>
  <si>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</si>
  <si>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</si>
  <si>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</si>
  <si>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</si>
  <si>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</si>
  <si>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</si>
  <si>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</si>
  <si>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</si>
  <si>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</si>
  <si>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</si>
  <si>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</si>
  <si>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</si>
  <si>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</si>
  <si>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</si>
  <si>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</si>
  <si>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</si>
  <si>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</si>
  <si>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</si>
  <si>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</si>
  <si>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</si>
  <si>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</si>
  <si>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</si>
  <si>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</si>
  <si>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</si>
  <si>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</si>
  <si>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</si>
  <si>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</si>
  <si>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</si>
  <si>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</si>
  <si>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</si>
  <si>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</si>
  <si>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</si>
  <si>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</si>
  <si>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</si>
  <si>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</si>
  <si>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</si>
  <si>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</si>
  <si>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</si>
  <si>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</si>
  <si>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</si>
  <si>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</si>
  <si>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</si>
  <si>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</si>
  <si>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</si>
  <si>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</si>
  <si>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</si>
  <si>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</si>
  <si>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</si>
  <si>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</si>
  <si>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</si>
  <si>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</si>
  <si>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</si>
  <si>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</si>
  <si>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</si>
  <si>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</si>
  <si>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</si>
  <si>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</si>
  <si>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</si>
  <si>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</si>
  <si>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</si>
  <si>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</si>
  <si>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</si>
  <si>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</si>
  <si>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</si>
  <si>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</si>
  <si>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</si>
  <si>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</si>
  <si>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</si>
  <si>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</si>
  <si>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</si>
  <si>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</si>
  <si>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</si>
  <si>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</si>
  <si>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</si>
  <si>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</si>
  <si>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</si>
  <si>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</si>
  <si>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</si>
  <si>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</si>
  <si>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</si>
  <si>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</si>
  <si>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</si>
  <si>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</si>
  <si>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</si>
  <si>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</si>
  <si>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</si>
  <si>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</si>
  <si>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</si>
  <si>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</si>
  <si>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</si>
  <si>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</si>
  <si>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</si>
  <si>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</si>
  <si>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</si>
  <si>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</si>
  <si>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</si>
  <si>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</si>
  <si>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</si>
  <si>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</si>
  <si>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</si>
  <si>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</si>
  <si>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</si>
  <si>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</si>
  <si>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</si>
  <si>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</si>
  <si>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</si>
  <si>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</si>
  <si>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</si>
  <si>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</si>
  <si>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</si>
  <si>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</si>
  <si>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</si>
  <si>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</si>
  <si>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</si>
  <si>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</si>
  <si>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</si>
  <si>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</si>
  <si>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</si>
  <si>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</si>
  <si>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</si>
  <si>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</si>
  <si>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</si>
  <si>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</si>
  <si>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</si>
  <si>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</si>
  <si>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</si>
  <si>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</si>
  <si>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</si>
  <si>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</si>
  <si>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</si>
  <si>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</si>
  <si>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</si>
  <si>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</si>
  <si>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</si>
  <si>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</si>
  <si>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</si>
  <si>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</si>
  <si>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</si>
  <si>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</si>
  <si>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</si>
  <si>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</si>
  <si>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</si>
  <si>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</si>
  <si>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</si>
  <si>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</si>
  <si>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</si>
  <si>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</si>
  <si>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</si>
  <si>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Omisión de seguimiento y gestión oportuna del cobro</t>
  </si>
  <si>
    <t>Saldos o recursos a favor no cobrados</t>
  </si>
  <si>
    <t>Posibilidad de efecto dañoso sobre bienes públicos, por errores en la clasificación de la naturaleza transaccional de las incapacidades, afectando el control financiero en los recaudos recibidos debido a la omisión en la aplicación Politicas Contables de la Universidad del Magdalena</t>
  </si>
  <si>
    <t>Posibilidad de efecto dañoso sobre bienes públicos, por daño, pérdida, extravío, hurto, robo o declaratoria de bienes faltantes pertenecientes a la Entidad debido a la omisión en la aplicación del Procedimiento de recepción y entrega de bienes</t>
  </si>
  <si>
    <t>Dirección financiera</t>
  </si>
  <si>
    <t>Omisión en la aplicación Politicas Contables Universidad del Magdalena</t>
  </si>
  <si>
    <t>Errores en la clasificación de la naturaleza transaccional de las incapacidades, afectando el control financiero en los recaudos recibidos</t>
  </si>
  <si>
    <t>Omisión en la aplicación del Procedimiento de recepción y entrega de bienes</t>
  </si>
  <si>
    <t>Daño, pérdida, extravío, hurto, robo o declaratoria de bienes faltantes pertenecientes a la Entidad</t>
  </si>
  <si>
    <t>16. Gestión Administrativa</t>
  </si>
  <si>
    <t>Grupo de Compras y Administración de Bienes verifica el inventario de bienes muebles asignados, de acuerdo con el Procedimiento para actualización del inventario de bienes</t>
  </si>
  <si>
    <t>1. Revisión del Inventario final del periodo anterior.</t>
  </si>
  <si>
    <t>2. Establecer el cronograma de actualización del inventario</t>
  </si>
  <si>
    <t>3. Análisis de los movimientos de los bienes 
- Las entradas  de bienes.
- Revisión de AD-F03 Formato de solicitud de descarga de bienes.
- Revisión de los prestamos y traslados de bienes</t>
  </si>
  <si>
    <t>Grupo de Compras y Administración de Bienes</t>
  </si>
  <si>
    <t>Posibilidad de efecto dañoso sobre bienes públicos por mal manejo o fallas en la legalización de anticipos o no amortización del anticipo debido a fallas en el sistema de información financiero SINAP</t>
  </si>
  <si>
    <t>Fallas en el sistema de información financiero SINAP</t>
  </si>
  <si>
    <t>Mal manejo o fallas en la legalización de anticipos o no amortización del anticipo</t>
  </si>
  <si>
    <t>Gestionar un generador de alertas automatico dentro del Sistema de Información Financiero (SINAP) que avise que usuarios que tienen un anticipo registrado..</t>
  </si>
  <si>
    <t xml:space="preserve">	Dirección Financiera</t>
  </si>
  <si>
    <t>Tramitar los anticipos y amortizaciones en el sistema de información (SINAP)  manteniendolo actualizado</t>
  </si>
  <si>
    <t>11. Gestión de Contratación</t>
  </si>
  <si>
    <t>Posibilidad de efecto dañoso sobre bienes públicos, por mal manejo o ausencia en la legalización de viaticos y apoyos económicos</t>
  </si>
  <si>
    <t>Mal manejo o ausencia en la legalización de viaticos y apoyos económicos</t>
  </si>
  <si>
    <t>Falencias en el seguimiento y control.</t>
  </si>
  <si>
    <t>12. Gestión Financiera</t>
  </si>
  <si>
    <t>Deficiencias en  las funciones de Supervisión e Interventoría de los contratos de la Entidad</t>
  </si>
  <si>
    <t>Posibilidad de efecto dañoso sobre bienes públicos, por pagar bienes, servicios u obras a pesar de no cumplir las condiciones de calidad  y/o objeto contractual debido a deficiencias en  las funciones de Supervisión e Interventoría de los contratos de la Entidad</t>
  </si>
  <si>
    <t>Pago de bienes, servicios u obras a pesar de no cumplir las condiciones de calidad  y/o objeto contractual</t>
  </si>
  <si>
    <t>Seguimiento periodico a la legalización de viaticos y apoyos económicos</t>
  </si>
  <si>
    <t>Capacitar al personal en normas legales, tributarias y contables.</t>
  </si>
  <si>
    <t>Mapa de riesgos fiscales 2024</t>
  </si>
  <si>
    <t>Institución</t>
  </si>
  <si>
    <t>Universidad del Magdalena</t>
  </si>
  <si>
    <t>La Dirección Financiera aplica la normatividad establecida en materia de viáticos</t>
  </si>
  <si>
    <t>Realizar seguimiento a la legalización de viaticos y apoyos economicos que no han sido culminados</t>
  </si>
  <si>
    <t>El supervisor y/o interventor  designado ejercerá el control y seguimiento a la ejecución contractual para verificar el cumplimiento de las condiciones y especificaciones técnicas pactadas y establecidas, de acuerdo a las normas vigentes.</t>
  </si>
  <si>
    <t xml:space="preserve">El Grupo de Contratación realizará la Evaluación de supervisores e interventores </t>
  </si>
  <si>
    <r>
      <t>Realizar un seguimiento a los informes de supervisión de los contratos en ejecución suscritos, para verificar las condiciones de calidad  y/o objeto contractual, de acuerdo a las normas vigentes</t>
    </r>
    <r>
      <rPr>
        <sz val="10"/>
        <color theme="1"/>
        <rFont val="Arial Narrow"/>
        <family val="2"/>
      </rPr>
      <t>.</t>
    </r>
  </si>
  <si>
    <t>Misión</t>
  </si>
  <si>
    <t>Contribuir a la transformación positiva y sostenible del territorio a partir de la formación de alta calidad con programas académicos flexibles, abiertos, adaptativos, accesibles y pertinentes en diferentes niveles y modalidades; la creación, transferencia y apropiación de conocimiento científico, tecnológico, artístico y cultural; el fomento de la innovación, el emprendimiento y la creación de valor social, en procesos de cooperación interinstitucional y de diálogo incluyente y constructivo con los territorios.  (Plan de Gobierno 2020 - 2030).</t>
  </si>
  <si>
    <t>Posibilidad de efecto dañoso sobre bienes públicos por saldos o recursos a favor debido a la omisión de seguimiento y gestión oportuna del cobro</t>
  </si>
  <si>
    <t>El profesional Especializado del Grupo de Facturación Crédito y Cartera realiza seguimiento periodicos a la gestión del cobro</t>
  </si>
  <si>
    <t xml:space="preserve">Realizar seguimiento continúo al cobro preventivo y correctivo </t>
  </si>
  <si>
    <t xml:space="preserve">Grupo de Facturación Crédito y Cartera </t>
  </si>
  <si>
    <t>17. Gestión de Talento Humano</t>
  </si>
  <si>
    <t>El profesional especializado del Grupo de  nómina verifica la información reportada en las novedades y procede a la elaboración de la nomina</t>
  </si>
  <si>
    <t>Grupo de Tesorería</t>
  </si>
  <si>
    <t>Ordenadores de gasto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</si>
</sst>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5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49" xfId="2" applyFont="1" applyFill="1" applyBorder="1"/>
    <xf numFmtId="0" fontId="50" fillId="3" borderId="50" xfId="2" applyFont="1" applyFill="1" applyBorder="1"/>
    <xf numFmtId="0" fontId="50" fillId="3" borderId="51"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41" xfId="0" applyNumberFormat="1"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36" xfId="0" applyNumberFormat="1" applyFont="1" applyFill="1" applyBorder="1" applyAlignment="1">
      <alignment horizontal="center" vertical="center" wrapText="1" readingOrder="1"/>
    </xf>
    <xf numFmtId="0" fontId="39" fillId="3" borderId="36"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9" fillId="3" borderId="38" xfId="0" applyFont="1" applyFill="1" applyBorder="1" applyAlignment="1">
      <alignment horizontal="justify" vertical="center" wrapText="1" readingOrder="1"/>
    </xf>
    <xf numFmtId="0" fontId="39" fillId="3" borderId="39" xfId="0" applyFont="1" applyFill="1" applyBorder="1" applyAlignment="1">
      <alignment horizontal="center" vertical="center" wrapText="1" readingOrder="1"/>
    </xf>
    <xf numFmtId="0" fontId="47" fillId="3" borderId="0" xfId="0" applyFont="1" applyFill="1"/>
    <xf numFmtId="0" fontId="38" fillId="15" borderId="43" xfId="0" applyFont="1" applyFill="1" applyBorder="1" applyAlignment="1">
      <alignment horizontal="center" vertical="center" wrapText="1" readingOrder="1"/>
    </xf>
    <xf numFmtId="0" fontId="38" fillId="15" borderId="44"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27" fillId="2" borderId="4" xfId="0" applyFont="1" applyFill="1" applyBorder="1" applyAlignment="1">
      <alignment horizontal="center" vertical="center" textRotation="9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0" borderId="6" xfId="0" applyFont="1" applyBorder="1" applyAlignment="1">
      <alignment horizontal="center" vertical="center"/>
    </xf>
    <xf numFmtId="0" fontId="27" fillId="2" borderId="5" xfId="0" applyFont="1" applyFill="1" applyBorder="1" applyAlignment="1">
      <alignment horizontal="center" vertical="center"/>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3" fontId="0" fillId="0" borderId="0" xfId="0" applyNumberFormat="1"/>
    <xf numFmtId="0" fontId="25" fillId="3" borderId="6" xfId="0" applyFont="1" applyFill="1" applyBorder="1" applyAlignment="1">
      <alignment horizontal="left" vertical="center"/>
    </xf>
    <xf numFmtId="0" fontId="25" fillId="3" borderId="10" xfId="0" applyFont="1" applyFill="1" applyBorder="1" applyAlignment="1">
      <alignment horizontal="left" vertical="center"/>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5" fillId="3" borderId="56"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51" fillId="14" borderId="46" xfId="2" applyFont="1" applyFill="1" applyBorder="1" applyAlignment="1">
      <alignment horizontal="center" vertical="center" wrapText="1"/>
    </xf>
    <xf numFmtId="0" fontId="51" fillId="14" borderId="47" xfId="2" applyFont="1" applyFill="1" applyBorder="1" applyAlignment="1">
      <alignment horizontal="center" vertical="center" wrapText="1"/>
    </xf>
    <xf numFmtId="0" fontId="51" fillId="14" borderId="48"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49"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3" fillId="3" borderId="51"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2" xfId="3" applyFont="1" applyFill="1" applyBorder="1" applyAlignment="1">
      <alignment horizontal="center" vertical="center" wrapText="1"/>
    </xf>
    <xf numFmtId="0" fontId="55" fillId="14" borderId="53" xfId="3" applyFont="1" applyFill="1" applyBorder="1" applyAlignment="1">
      <alignment horizontal="center" vertical="center" wrapText="1"/>
    </xf>
    <xf numFmtId="0" fontId="55" fillId="14" borderId="54" xfId="2" applyFont="1" applyFill="1" applyBorder="1" applyAlignment="1">
      <alignment horizontal="center" vertical="center"/>
    </xf>
    <xf numFmtId="0" fontId="55" fillId="14" borderId="55" xfId="2" applyFont="1" applyFill="1" applyBorder="1" applyAlignment="1">
      <alignment horizontal="center" vertical="center"/>
    </xf>
    <xf numFmtId="0" fontId="2" fillId="3" borderId="66" xfId="2" quotePrefix="1" applyFont="1" applyFill="1" applyBorder="1" applyAlignment="1">
      <alignment horizontal="justify" vertical="center" wrapText="1"/>
    </xf>
    <xf numFmtId="0" fontId="2" fillId="3" borderId="67" xfId="2" quotePrefix="1" applyFont="1" applyFill="1" applyBorder="1" applyAlignment="1">
      <alignment horizontal="justify" vertical="center" wrapText="1"/>
    </xf>
    <xf numFmtId="0" fontId="2" fillId="3" borderId="68" xfId="2" quotePrefix="1" applyFont="1" applyFill="1" applyBorder="1" applyAlignment="1">
      <alignment horizontal="justify" vertical="center" wrapText="1"/>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10"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3" xfId="0" applyFont="1" applyFill="1" applyBorder="1" applyAlignment="1">
      <alignment horizontal="center" vertical="center" wrapText="1" readingOrder="1"/>
    </xf>
    <xf numFmtId="0" fontId="41" fillId="15" borderId="34" xfId="0" applyFont="1" applyFill="1" applyBorder="1" applyAlignment="1">
      <alignment horizontal="center" vertical="center" wrapText="1" readingOrder="1"/>
    </xf>
    <xf numFmtId="0" fontId="41" fillId="15" borderId="45"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2" xfId="0" applyFont="1" applyFill="1" applyBorder="1" applyAlignment="1">
      <alignment horizontal="center" vertical="center" wrapText="1" readingOrder="1"/>
    </xf>
    <xf numFmtId="0" fontId="38" fillId="15" borderId="4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justify" vertical="center"/>
      <protection locked="0"/>
    </xf>
    <xf numFmtId="0" fontId="1" fillId="0" borderId="4" xfId="0" applyFont="1" applyBorder="1" applyAlignment="1" applyProtection="1">
      <alignment horizontal="center" vertical="center" textRotation="90" wrapText="1"/>
      <protection locked="0"/>
    </xf>
    <xf numFmtId="0" fontId="1" fillId="0" borderId="2" xfId="0" applyFont="1" applyBorder="1" applyAlignment="1" applyProtection="1">
      <alignment horizontal="center" vertical="center" textRotation="90" wrapText="1"/>
      <protection locked="0"/>
    </xf>
    <xf numFmtId="0" fontId="1" fillId="0" borderId="4" xfId="0" applyFont="1" applyBorder="1" applyAlignment="1">
      <alignment horizontal="center" vertical="center"/>
    </xf>
    <xf numFmtId="0" fontId="1" fillId="0" borderId="4"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1" fillId="0" borderId="8" xfId="0" applyFont="1" applyBorder="1" applyAlignment="1">
      <alignment horizontal="center" vertical="center"/>
    </xf>
    <xf numFmtId="0" fontId="1" fillId="0" borderId="8" xfId="0" applyFont="1" applyBorder="1" applyAlignment="1" applyProtection="1">
      <alignment horizontal="center" vertical="center"/>
      <protection locked="0"/>
    </xf>
    <xf numFmtId="0" fontId="4" fillId="0" borderId="8" xfId="0"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hidden="1"/>
    </xf>
    <xf numFmtId="0" fontId="1" fillId="0" borderId="4" xfId="0" applyFont="1" applyBorder="1" applyAlignment="1">
      <alignment horizontal="left" vertical="center" wrapText="1"/>
    </xf>
    <xf numFmtId="0" fontId="1" fillId="0" borderId="4"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 fillId="0" borderId="8" xfId="0" applyFont="1" applyBorder="1" applyAlignment="1">
      <alignment horizontal="left" vertical="center"/>
    </xf>
    <xf numFmtId="0" fontId="1" fillId="0" borderId="8"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1" fillId="0" borderId="4" xfId="0" applyFont="1" applyBorder="1" applyAlignment="1">
      <alignment horizontal="left" vertical="center"/>
    </xf>
    <xf numFmtId="0" fontId="1" fillId="0" borderId="4" xfId="0" applyFont="1" applyBorder="1" applyAlignment="1" applyProtection="1">
      <alignment horizontal="left" vertical="center"/>
      <protection locked="0"/>
    </xf>
    <xf numFmtId="0" fontId="4" fillId="0" borderId="4" xfId="0" applyFont="1" applyBorder="1" applyAlignment="1" applyProtection="1">
      <alignment horizontal="left" vertical="center" wrapText="1"/>
      <protection hidden="1"/>
    </xf>
    <xf numFmtId="9" fontId="1" fillId="0" borderId="4" xfId="0" applyNumberFormat="1" applyFont="1" applyBorder="1" applyAlignment="1" applyProtection="1">
      <alignment horizontal="left" vertical="center" wrapText="1"/>
      <protection hidden="1"/>
    </xf>
    <xf numFmtId="9" fontId="1" fillId="0" borderId="4" xfId="0" applyNumberFormat="1" applyFont="1" applyBorder="1" applyAlignment="1" applyProtection="1">
      <alignment horizontal="left" vertical="center" wrapText="1"/>
      <protection locked="0"/>
    </xf>
    <xf numFmtId="0" fontId="4" fillId="0" borderId="4" xfId="0" applyFont="1" applyBorder="1" applyAlignment="1" applyProtection="1">
      <alignment horizontal="left" vertical="center"/>
      <protection hidden="1"/>
    </xf>
    <xf numFmtId="0" fontId="1" fillId="0" borderId="8" xfId="0" applyFont="1" applyBorder="1" applyAlignment="1" applyProtection="1">
      <alignment horizontal="left" vertical="center"/>
      <protection locked="0"/>
    </xf>
    <xf numFmtId="0" fontId="4" fillId="0" borderId="8" xfId="0" applyFont="1" applyBorder="1" applyAlignment="1" applyProtection="1">
      <alignment horizontal="left" vertical="center" wrapText="1"/>
      <protection hidden="1"/>
    </xf>
    <xf numFmtId="9" fontId="1" fillId="0" borderId="8" xfId="0" applyNumberFormat="1" applyFont="1" applyBorder="1" applyAlignment="1" applyProtection="1">
      <alignment horizontal="left" vertical="center" wrapText="1"/>
      <protection hidden="1"/>
    </xf>
    <xf numFmtId="9" fontId="1" fillId="0" borderId="8" xfId="0" applyNumberFormat="1" applyFont="1" applyBorder="1" applyAlignment="1" applyProtection="1">
      <alignment horizontal="left" vertical="center" wrapText="1"/>
      <protection locked="0"/>
    </xf>
    <xf numFmtId="0" fontId="4" fillId="0" borderId="8" xfId="0" applyFont="1" applyBorder="1" applyAlignment="1" applyProtection="1">
      <alignment horizontal="left" vertical="center"/>
      <protection hidden="1"/>
    </xf>
    <xf numFmtId="0" fontId="1" fillId="0" borderId="2" xfId="0" applyFont="1" applyBorder="1" applyAlignment="1" applyProtection="1">
      <alignment horizontal="center" vertical="center"/>
      <protection locked="0"/>
    </xf>
    <xf numFmtId="0" fontId="1" fillId="0" borderId="2" xfId="0" applyFont="1" applyBorder="1" applyAlignment="1" applyProtection="1">
      <alignment horizontal="left" vertical="center" wrapText="1"/>
      <protection locked="0"/>
    </xf>
    <xf numFmtId="0" fontId="1" fillId="0" borderId="2" xfId="0" applyFont="1" applyBorder="1" applyAlignment="1" applyProtection="1">
      <alignment horizontal="left" vertical="top" wrapText="1"/>
      <protection locked="0"/>
    </xf>
    <xf numFmtId="0" fontId="6" fillId="0" borderId="4"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1" fillId="0" borderId="2" xfId="0" applyFont="1" applyBorder="1" applyAlignment="1" applyProtection="1">
      <alignment horizontal="justify" vertical="center"/>
      <protection locked="0"/>
    </xf>
    <xf numFmtId="9" fontId="1" fillId="0" borderId="2" xfId="0" applyNumberFormat="1" applyFont="1" applyBorder="1" applyAlignment="1" applyProtection="1">
      <alignment horizontal="center" vertical="center" wrapText="1"/>
      <protection hidden="1"/>
    </xf>
    <xf numFmtId="164" fontId="1" fillId="0" borderId="2" xfId="1" applyNumberFormat="1" applyFont="1" applyBorder="1" applyAlignment="1">
      <alignment horizontal="center" vertical="center" wrapText="1"/>
    </xf>
    <xf numFmtId="9" fontId="1" fillId="0" borderId="4" xfId="0" applyNumberFormat="1" applyFont="1" applyBorder="1" applyAlignment="1" applyProtection="1">
      <alignment horizontal="center" vertical="center" wrapText="1"/>
      <protection hidden="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82">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ont>
        <color rgb="FF9C0006"/>
      </font>
      <fill>
        <patternFill>
          <bgColor rgb="FFFFC7CE"/>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13608</xdr:colOff>
      <xdr:row>2</xdr:row>
      <xdr:rowOff>149680</xdr:rowOff>
    </xdr:from>
    <xdr:to>
      <xdr:col>16</xdr:col>
      <xdr:colOff>1183822</xdr:colOff>
      <xdr:row>4</xdr:row>
      <xdr:rowOff>981547</xdr:rowOff>
    </xdr:to>
    <xdr:pic>
      <xdr:nvPicPr>
        <xdr:cNvPr id="5" name="Imagen 4">
          <a:extLst>
            <a:ext uri="{FF2B5EF4-FFF2-40B4-BE49-F238E27FC236}">
              <a16:creationId xmlns:a16="http://schemas.microsoft.com/office/drawing/2014/main" id="{083581A3-8E49-496B-BDC3-F332ECB386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16501" y="653144"/>
          <a:ext cx="1170214" cy="137615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81" dataDxfId="80">
  <autoFilter ref="B209:C219" xr:uid="{00000000-0009-0000-0100-000001000000}"/>
  <tableColumns count="2">
    <tableColumn id="1" xr3:uid="{00000000-0010-0000-0000-000001000000}" name="Criterios" dataDxfId="79"/>
    <tableColumn id="2" xr3:uid="{00000000-0010-0000-0000-000002000000}" name="Subcriterios" dataDxfId="7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zoomScale="110" zoomScaleNormal="110" workbookViewId="0">
      <selection activeCell="B4" sqref="B4:H5"/>
    </sheetView>
  </sheetViews>
  <sheetFormatPr baseColWidth="10" defaultRowHeight="15" x14ac:dyDescent="0.25"/>
  <cols>
    <col min="1" max="1" width="2.85546875" style="83" customWidth="1"/>
    <col min="2" max="3" width="24.7109375" style="83" customWidth="1"/>
    <col min="4" max="4" width="16" style="83" customWidth="1"/>
    <col min="5" max="5" width="24.7109375" style="83" customWidth="1"/>
    <col min="6" max="6" width="27.7109375" style="83" customWidth="1"/>
    <col min="7" max="8" width="24.7109375" style="83" customWidth="1"/>
    <col min="9" max="16384" width="11.42578125" style="83"/>
  </cols>
  <sheetData>
    <row r="1" spans="2:8" ht="15.75" thickBot="1" x14ac:dyDescent="0.3"/>
    <row r="2" spans="2:8" ht="18" x14ac:dyDescent="0.25">
      <c r="B2" s="165" t="s">
        <v>160</v>
      </c>
      <c r="C2" s="166"/>
      <c r="D2" s="166"/>
      <c r="E2" s="166"/>
      <c r="F2" s="166"/>
      <c r="G2" s="166"/>
      <c r="H2" s="167"/>
    </row>
    <row r="3" spans="2:8" x14ac:dyDescent="0.25">
      <c r="B3" s="84"/>
      <c r="C3" s="85"/>
      <c r="D3" s="85"/>
      <c r="E3" s="85"/>
      <c r="F3" s="85"/>
      <c r="G3" s="85"/>
      <c r="H3" s="86"/>
    </row>
    <row r="4" spans="2:8" ht="63" customHeight="1" x14ac:dyDescent="0.25">
      <c r="B4" s="168" t="s">
        <v>203</v>
      </c>
      <c r="C4" s="169"/>
      <c r="D4" s="169"/>
      <c r="E4" s="169"/>
      <c r="F4" s="169"/>
      <c r="G4" s="169"/>
      <c r="H4" s="170"/>
    </row>
    <row r="5" spans="2:8" ht="63" customHeight="1" x14ac:dyDescent="0.25">
      <c r="B5" s="171"/>
      <c r="C5" s="172"/>
      <c r="D5" s="172"/>
      <c r="E5" s="172"/>
      <c r="F5" s="172"/>
      <c r="G5" s="172"/>
      <c r="H5" s="173"/>
    </row>
    <row r="6" spans="2:8" ht="16.5" x14ac:dyDescent="0.25">
      <c r="B6" s="174" t="s">
        <v>158</v>
      </c>
      <c r="C6" s="175"/>
      <c r="D6" s="175"/>
      <c r="E6" s="175"/>
      <c r="F6" s="175"/>
      <c r="G6" s="175"/>
      <c r="H6" s="176"/>
    </row>
    <row r="7" spans="2:8" ht="95.25" customHeight="1" x14ac:dyDescent="0.25">
      <c r="B7" s="184" t="s">
        <v>163</v>
      </c>
      <c r="C7" s="185"/>
      <c r="D7" s="185"/>
      <c r="E7" s="185"/>
      <c r="F7" s="185"/>
      <c r="G7" s="185"/>
      <c r="H7" s="186"/>
    </row>
    <row r="8" spans="2:8" ht="16.5" x14ac:dyDescent="0.25">
      <c r="B8" s="120"/>
      <c r="C8" s="121"/>
      <c r="D8" s="121"/>
      <c r="E8" s="121"/>
      <c r="F8" s="121"/>
      <c r="G8" s="121"/>
      <c r="H8" s="122"/>
    </row>
    <row r="9" spans="2:8" ht="16.5" customHeight="1" x14ac:dyDescent="0.25">
      <c r="B9" s="177" t="s">
        <v>196</v>
      </c>
      <c r="C9" s="178"/>
      <c r="D9" s="178"/>
      <c r="E9" s="178"/>
      <c r="F9" s="178"/>
      <c r="G9" s="178"/>
      <c r="H9" s="179"/>
    </row>
    <row r="10" spans="2:8" ht="44.25" customHeight="1" x14ac:dyDescent="0.25">
      <c r="B10" s="177"/>
      <c r="C10" s="178"/>
      <c r="D10" s="178"/>
      <c r="E10" s="178"/>
      <c r="F10" s="178"/>
      <c r="G10" s="178"/>
      <c r="H10" s="179"/>
    </row>
    <row r="11" spans="2:8" ht="15.75" thickBot="1" x14ac:dyDescent="0.3">
      <c r="B11" s="109"/>
      <c r="C11" s="112"/>
      <c r="D11" s="117"/>
      <c r="E11" s="118"/>
      <c r="F11" s="118"/>
      <c r="G11" s="119"/>
      <c r="H11" s="113"/>
    </row>
    <row r="12" spans="2:8" ht="15.75" thickTop="1" x14ac:dyDescent="0.25">
      <c r="B12" s="109"/>
      <c r="C12" s="180" t="s">
        <v>159</v>
      </c>
      <c r="D12" s="181"/>
      <c r="E12" s="182" t="s">
        <v>197</v>
      </c>
      <c r="F12" s="183"/>
      <c r="G12" s="112"/>
      <c r="H12" s="113"/>
    </row>
    <row r="13" spans="2:8" ht="35.25" customHeight="1" x14ac:dyDescent="0.25">
      <c r="B13" s="109"/>
      <c r="C13" s="152" t="s">
        <v>190</v>
      </c>
      <c r="D13" s="153"/>
      <c r="E13" s="154" t="s">
        <v>195</v>
      </c>
      <c r="F13" s="155"/>
      <c r="G13" s="112"/>
      <c r="H13" s="113"/>
    </row>
    <row r="14" spans="2:8" ht="17.25" customHeight="1" x14ac:dyDescent="0.25">
      <c r="B14" s="109"/>
      <c r="C14" s="152" t="s">
        <v>191</v>
      </c>
      <c r="D14" s="153"/>
      <c r="E14" s="154" t="s">
        <v>193</v>
      </c>
      <c r="F14" s="155"/>
      <c r="G14" s="112"/>
      <c r="H14" s="113"/>
    </row>
    <row r="15" spans="2:8" ht="19.5" customHeight="1" x14ac:dyDescent="0.25">
      <c r="B15" s="109"/>
      <c r="C15" s="152" t="s">
        <v>192</v>
      </c>
      <c r="D15" s="153"/>
      <c r="E15" s="154" t="s">
        <v>194</v>
      </c>
      <c r="F15" s="155"/>
      <c r="G15" s="112"/>
      <c r="H15" s="113"/>
    </row>
    <row r="16" spans="2:8" ht="69.75" customHeight="1" x14ac:dyDescent="0.25">
      <c r="B16" s="109"/>
      <c r="C16" s="152" t="s">
        <v>161</v>
      </c>
      <c r="D16" s="153"/>
      <c r="E16" s="154" t="s">
        <v>162</v>
      </c>
      <c r="F16" s="155"/>
      <c r="G16" s="112"/>
      <c r="H16" s="113"/>
    </row>
    <row r="17" spans="2:8" ht="34.5" customHeight="1" x14ac:dyDescent="0.25">
      <c r="B17" s="109"/>
      <c r="C17" s="156" t="s">
        <v>2</v>
      </c>
      <c r="D17" s="157"/>
      <c r="E17" s="148" t="s">
        <v>204</v>
      </c>
      <c r="F17" s="149"/>
      <c r="G17" s="112"/>
      <c r="H17" s="113"/>
    </row>
    <row r="18" spans="2:8" ht="27.75" customHeight="1" x14ac:dyDescent="0.25">
      <c r="B18" s="109"/>
      <c r="C18" s="156" t="s">
        <v>3</v>
      </c>
      <c r="D18" s="157"/>
      <c r="E18" s="148" t="s">
        <v>205</v>
      </c>
      <c r="F18" s="149"/>
      <c r="G18" s="112"/>
      <c r="H18" s="113"/>
    </row>
    <row r="19" spans="2:8" ht="28.5" customHeight="1" x14ac:dyDescent="0.25">
      <c r="B19" s="109"/>
      <c r="C19" s="156" t="s">
        <v>40</v>
      </c>
      <c r="D19" s="157"/>
      <c r="E19" s="148" t="s">
        <v>206</v>
      </c>
      <c r="F19" s="149"/>
      <c r="G19" s="112"/>
      <c r="H19" s="113"/>
    </row>
    <row r="20" spans="2:8" ht="72.75" customHeight="1" x14ac:dyDescent="0.25">
      <c r="B20" s="109"/>
      <c r="C20" s="156" t="s">
        <v>1</v>
      </c>
      <c r="D20" s="157"/>
      <c r="E20" s="148" t="s">
        <v>207</v>
      </c>
      <c r="F20" s="149"/>
      <c r="G20" s="112"/>
      <c r="H20" s="113"/>
    </row>
    <row r="21" spans="2:8" ht="64.5" customHeight="1" x14ac:dyDescent="0.25">
      <c r="B21" s="109"/>
      <c r="C21" s="156" t="s">
        <v>46</v>
      </c>
      <c r="D21" s="157"/>
      <c r="E21" s="148" t="s">
        <v>165</v>
      </c>
      <c r="F21" s="149"/>
      <c r="G21" s="112"/>
      <c r="H21" s="113"/>
    </row>
    <row r="22" spans="2:8" ht="71.25" customHeight="1" x14ac:dyDescent="0.25">
      <c r="B22" s="109"/>
      <c r="C22" s="156" t="s">
        <v>164</v>
      </c>
      <c r="D22" s="157"/>
      <c r="E22" s="148" t="s">
        <v>166</v>
      </c>
      <c r="F22" s="149"/>
      <c r="G22" s="112"/>
      <c r="H22" s="113"/>
    </row>
    <row r="23" spans="2:8" ht="55.5" customHeight="1" x14ac:dyDescent="0.25">
      <c r="B23" s="109"/>
      <c r="C23" s="150" t="s">
        <v>167</v>
      </c>
      <c r="D23" s="151"/>
      <c r="E23" s="148" t="s">
        <v>168</v>
      </c>
      <c r="F23" s="149"/>
      <c r="G23" s="112"/>
      <c r="H23" s="113"/>
    </row>
    <row r="24" spans="2:8" ht="42" customHeight="1" x14ac:dyDescent="0.25">
      <c r="B24" s="109"/>
      <c r="C24" s="150" t="s">
        <v>44</v>
      </c>
      <c r="D24" s="151"/>
      <c r="E24" s="148" t="s">
        <v>169</v>
      </c>
      <c r="F24" s="149"/>
      <c r="G24" s="112"/>
      <c r="H24" s="113"/>
    </row>
    <row r="25" spans="2:8" ht="59.25" customHeight="1" x14ac:dyDescent="0.25">
      <c r="B25" s="109"/>
      <c r="C25" s="150" t="s">
        <v>157</v>
      </c>
      <c r="D25" s="151"/>
      <c r="E25" s="148" t="s">
        <v>170</v>
      </c>
      <c r="F25" s="149"/>
      <c r="G25" s="112"/>
      <c r="H25" s="113"/>
    </row>
    <row r="26" spans="2:8" ht="23.25" customHeight="1" x14ac:dyDescent="0.25">
      <c r="B26" s="109"/>
      <c r="C26" s="150" t="s">
        <v>12</v>
      </c>
      <c r="D26" s="151"/>
      <c r="E26" s="148" t="s">
        <v>171</v>
      </c>
      <c r="F26" s="149"/>
      <c r="G26" s="112"/>
      <c r="H26" s="113"/>
    </row>
    <row r="27" spans="2:8" ht="30.75" customHeight="1" x14ac:dyDescent="0.25">
      <c r="B27" s="109"/>
      <c r="C27" s="150" t="s">
        <v>175</v>
      </c>
      <c r="D27" s="151"/>
      <c r="E27" s="148" t="s">
        <v>172</v>
      </c>
      <c r="F27" s="149"/>
      <c r="G27" s="112"/>
      <c r="H27" s="113"/>
    </row>
    <row r="28" spans="2:8" ht="35.25" customHeight="1" x14ac:dyDescent="0.25">
      <c r="B28" s="109"/>
      <c r="C28" s="150" t="s">
        <v>176</v>
      </c>
      <c r="D28" s="151"/>
      <c r="E28" s="148" t="s">
        <v>173</v>
      </c>
      <c r="F28" s="149"/>
      <c r="G28" s="112"/>
      <c r="H28" s="113"/>
    </row>
    <row r="29" spans="2:8" ht="33" customHeight="1" x14ac:dyDescent="0.25">
      <c r="B29" s="109"/>
      <c r="C29" s="150" t="s">
        <v>176</v>
      </c>
      <c r="D29" s="151"/>
      <c r="E29" s="148" t="s">
        <v>173</v>
      </c>
      <c r="F29" s="149"/>
      <c r="G29" s="112"/>
      <c r="H29" s="113"/>
    </row>
    <row r="30" spans="2:8" ht="30" customHeight="1" x14ac:dyDescent="0.25">
      <c r="B30" s="109"/>
      <c r="C30" s="150" t="s">
        <v>177</v>
      </c>
      <c r="D30" s="151"/>
      <c r="E30" s="148" t="s">
        <v>174</v>
      </c>
      <c r="F30" s="149"/>
      <c r="G30" s="112"/>
      <c r="H30" s="113"/>
    </row>
    <row r="31" spans="2:8" ht="35.25" customHeight="1" x14ac:dyDescent="0.25">
      <c r="B31" s="109"/>
      <c r="C31" s="150" t="s">
        <v>178</v>
      </c>
      <c r="D31" s="151"/>
      <c r="E31" s="148" t="s">
        <v>179</v>
      </c>
      <c r="F31" s="149"/>
      <c r="G31" s="112"/>
      <c r="H31" s="113"/>
    </row>
    <row r="32" spans="2:8" ht="31.5" customHeight="1" x14ac:dyDescent="0.25">
      <c r="B32" s="109"/>
      <c r="C32" s="150" t="s">
        <v>180</v>
      </c>
      <c r="D32" s="151"/>
      <c r="E32" s="148" t="s">
        <v>181</v>
      </c>
      <c r="F32" s="149"/>
      <c r="G32" s="112"/>
      <c r="H32" s="113"/>
    </row>
    <row r="33" spans="2:8" ht="35.25" customHeight="1" x14ac:dyDescent="0.25">
      <c r="B33" s="109"/>
      <c r="C33" s="150" t="s">
        <v>182</v>
      </c>
      <c r="D33" s="151"/>
      <c r="E33" s="148" t="s">
        <v>183</v>
      </c>
      <c r="F33" s="149"/>
      <c r="G33" s="112"/>
      <c r="H33" s="113"/>
    </row>
    <row r="34" spans="2:8" ht="59.25" customHeight="1" x14ac:dyDescent="0.25">
      <c r="B34" s="109"/>
      <c r="C34" s="150" t="s">
        <v>184</v>
      </c>
      <c r="D34" s="151"/>
      <c r="E34" s="148" t="s">
        <v>185</v>
      </c>
      <c r="F34" s="149"/>
      <c r="G34" s="112"/>
      <c r="H34" s="113"/>
    </row>
    <row r="35" spans="2:8" ht="29.25" customHeight="1" x14ac:dyDescent="0.25">
      <c r="B35" s="109"/>
      <c r="C35" s="150" t="s">
        <v>29</v>
      </c>
      <c r="D35" s="151"/>
      <c r="E35" s="148" t="s">
        <v>186</v>
      </c>
      <c r="F35" s="149"/>
      <c r="G35" s="112"/>
      <c r="H35" s="113"/>
    </row>
    <row r="36" spans="2:8" ht="82.5" customHeight="1" x14ac:dyDescent="0.25">
      <c r="B36" s="109"/>
      <c r="C36" s="150" t="s">
        <v>188</v>
      </c>
      <c r="D36" s="151"/>
      <c r="E36" s="148" t="s">
        <v>187</v>
      </c>
      <c r="F36" s="149"/>
      <c r="G36" s="112"/>
      <c r="H36" s="113"/>
    </row>
    <row r="37" spans="2:8" ht="46.5" customHeight="1" x14ac:dyDescent="0.25">
      <c r="B37" s="109"/>
      <c r="C37" s="150" t="s">
        <v>37</v>
      </c>
      <c r="D37" s="151"/>
      <c r="E37" s="148" t="s">
        <v>189</v>
      </c>
      <c r="F37" s="149"/>
      <c r="G37" s="112"/>
      <c r="H37" s="113"/>
    </row>
    <row r="38" spans="2:8" ht="6.75" customHeight="1" thickBot="1" x14ac:dyDescent="0.3">
      <c r="B38" s="109"/>
      <c r="C38" s="161"/>
      <c r="D38" s="162"/>
      <c r="E38" s="163"/>
      <c r="F38" s="164"/>
      <c r="G38" s="112"/>
      <c r="H38" s="113"/>
    </row>
    <row r="39" spans="2:8" ht="15.75" thickTop="1" x14ac:dyDescent="0.25">
      <c r="B39" s="109"/>
      <c r="C39" s="110"/>
      <c r="D39" s="110"/>
      <c r="E39" s="111"/>
      <c r="F39" s="111"/>
      <c r="G39" s="112"/>
      <c r="H39" s="113"/>
    </row>
    <row r="40" spans="2:8" ht="21" customHeight="1" x14ac:dyDescent="0.25">
      <c r="B40" s="158" t="s">
        <v>198</v>
      </c>
      <c r="C40" s="159"/>
      <c r="D40" s="159"/>
      <c r="E40" s="159"/>
      <c r="F40" s="159"/>
      <c r="G40" s="159"/>
      <c r="H40" s="160"/>
    </row>
    <row r="41" spans="2:8" ht="20.25" customHeight="1" x14ac:dyDescent="0.25">
      <c r="B41" s="158" t="s">
        <v>199</v>
      </c>
      <c r="C41" s="159"/>
      <c r="D41" s="159"/>
      <c r="E41" s="159"/>
      <c r="F41" s="159"/>
      <c r="G41" s="159"/>
      <c r="H41" s="160"/>
    </row>
    <row r="42" spans="2:8" ht="20.25" customHeight="1" x14ac:dyDescent="0.25">
      <c r="B42" s="158" t="s">
        <v>200</v>
      </c>
      <c r="C42" s="159"/>
      <c r="D42" s="159"/>
      <c r="E42" s="159"/>
      <c r="F42" s="159"/>
      <c r="G42" s="159"/>
      <c r="H42" s="160"/>
    </row>
    <row r="43" spans="2:8" ht="20.25" customHeight="1" x14ac:dyDescent="0.25">
      <c r="B43" s="158" t="s">
        <v>201</v>
      </c>
      <c r="C43" s="159"/>
      <c r="D43" s="159"/>
      <c r="E43" s="159"/>
      <c r="F43" s="159"/>
      <c r="G43" s="159"/>
      <c r="H43" s="160"/>
    </row>
    <row r="44" spans="2:8" x14ac:dyDescent="0.25">
      <c r="B44" s="158" t="s">
        <v>202</v>
      </c>
      <c r="C44" s="159"/>
      <c r="D44" s="159"/>
      <c r="E44" s="159"/>
      <c r="F44" s="159"/>
      <c r="G44" s="159"/>
      <c r="H44" s="160"/>
    </row>
    <row r="45" spans="2:8" ht="15.75" thickBot="1" x14ac:dyDescent="0.3">
      <c r="B45" s="114"/>
      <c r="C45" s="115"/>
      <c r="D45" s="115"/>
      <c r="E45" s="115"/>
      <c r="F45" s="115"/>
      <c r="G45" s="115"/>
      <c r="H45" s="116"/>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38</v>
      </c>
    </row>
    <row r="21" spans="1:1" x14ac:dyDescent="0.2">
      <c r="A21" s="10" t="s">
        <v>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N33"/>
  <sheetViews>
    <sheetView tabSelected="1" topLeftCell="A23" zoomScale="90" zoomScaleNormal="90" workbookViewId="0">
      <selection activeCell="Q40" sqref="Q40"/>
    </sheetView>
  </sheetViews>
  <sheetFormatPr baseColWidth="10" defaultRowHeight="16.5" x14ac:dyDescent="0.3"/>
  <cols>
    <col min="1" max="1" width="4" style="2" bestFit="1" customWidth="1"/>
    <col min="2" max="2" width="31.28515625" style="2" customWidth="1"/>
    <col min="3" max="3" width="14.140625" style="2" customWidth="1"/>
    <col min="4" max="4" width="26.140625" style="2" customWidth="1"/>
    <col min="5" max="5" width="24.7109375" style="2" customWidth="1"/>
    <col min="6" max="6" width="32.42578125" style="1" customWidth="1"/>
    <col min="7" max="7" width="19" style="5" customWidth="1"/>
    <col min="8" max="8" width="17.85546875" style="1" customWidth="1"/>
    <col min="9" max="9" width="16.5703125" style="1" customWidth="1"/>
    <col min="10" max="10" width="6.28515625" style="1" bestFit="1" customWidth="1"/>
    <col min="11" max="11" width="27.28515625" style="1" bestFit="1" customWidth="1"/>
    <col min="12" max="12" width="30.5703125" style="1" hidden="1" customWidth="1"/>
    <col min="13" max="13" width="17.5703125" style="1" customWidth="1"/>
    <col min="14" max="14" width="6.28515625" style="1" bestFit="1" customWidth="1"/>
    <col min="15" max="15" width="16" style="1" customWidth="1"/>
    <col min="16" max="16" width="5.85546875" style="1" customWidth="1"/>
    <col min="17" max="17" width="31" style="1" customWidth="1"/>
    <col min="18" max="18" width="15.140625" style="1" bestFit="1" customWidth="1"/>
    <col min="19" max="19" width="6.85546875" style="1" customWidth="1"/>
    <col min="20" max="20" width="5" style="1" customWidth="1"/>
    <col min="21" max="21" width="5.5703125" style="1" customWidth="1"/>
    <col min="22" max="22" width="7.7109375" style="1" customWidth="1"/>
    <col min="23" max="23" width="6.7109375" style="1" customWidth="1"/>
    <col min="24" max="24" width="7.5703125" style="1" customWidth="1"/>
    <col min="25" max="25" width="38.28515625" style="1" hidden="1" customWidth="1"/>
    <col min="26" max="26" width="8.7109375" style="1" customWidth="1"/>
    <col min="27" max="27" width="10.42578125" style="1" customWidth="1"/>
    <col min="28" max="28" width="9.28515625" style="1" customWidth="1"/>
    <col min="29" max="29" width="9.140625" style="1" customWidth="1"/>
    <col min="30" max="30" width="8.42578125" style="1" customWidth="1"/>
    <col min="31" max="31" width="7.28515625" style="1" customWidth="1"/>
    <col min="32" max="32" width="28.7109375" style="1" customWidth="1"/>
    <col min="33" max="33" width="20.28515625" style="1" bestFit="1" customWidth="1"/>
    <col min="34" max="34" width="22.42578125" style="1" customWidth="1"/>
    <col min="35" max="16384" width="11.42578125" style="1"/>
  </cols>
  <sheetData>
    <row r="1" spans="1:66" ht="16.5" customHeight="1" x14ac:dyDescent="0.3">
      <c r="A1" s="187" t="s">
        <v>239</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row>
    <row r="2" spans="1:66" ht="24" customHeight="1" x14ac:dyDescent="0.3">
      <c r="A2" s="189"/>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row>
    <row r="3" spans="1:66" x14ac:dyDescent="0.3">
      <c r="A3" s="28"/>
      <c r="B3" s="28"/>
      <c r="C3" s="29"/>
      <c r="D3" s="28"/>
      <c r="E3" s="28"/>
      <c r="F3" s="8"/>
      <c r="G3" s="27"/>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row>
    <row r="4" spans="1:66" ht="26.25" customHeight="1" x14ac:dyDescent="0.3">
      <c r="A4" s="213" t="s">
        <v>240</v>
      </c>
      <c r="B4" s="214"/>
      <c r="C4" s="215"/>
      <c r="D4" s="228" t="s">
        <v>241</v>
      </c>
      <c r="E4" s="229"/>
      <c r="F4" s="229"/>
      <c r="G4" s="229"/>
      <c r="H4" s="229"/>
      <c r="I4" s="229"/>
      <c r="J4" s="229"/>
      <c r="K4" s="229"/>
      <c r="L4" s="229"/>
      <c r="M4" s="229"/>
      <c r="N4" s="229"/>
      <c r="O4" s="230"/>
      <c r="P4" s="231"/>
      <c r="Q4" s="231"/>
      <c r="R4" s="231"/>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row>
    <row r="5" spans="1:66" ht="106.5" customHeight="1" x14ac:dyDescent="0.3">
      <c r="A5" s="213" t="s">
        <v>247</v>
      </c>
      <c r="B5" s="214"/>
      <c r="C5" s="215"/>
      <c r="D5" s="224" t="s">
        <v>248</v>
      </c>
      <c r="E5" s="225"/>
      <c r="F5" s="225"/>
      <c r="G5" s="225"/>
      <c r="H5" s="225"/>
      <c r="I5" s="225"/>
      <c r="J5" s="225"/>
      <c r="K5" s="225"/>
      <c r="L5" s="225"/>
      <c r="M5" s="225"/>
      <c r="N5" s="225"/>
      <c r="O5" s="226"/>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row>
    <row r="6" spans="1:66" ht="30" customHeight="1" x14ac:dyDescent="0.3">
      <c r="A6" s="146"/>
      <c r="B6" s="147"/>
      <c r="C6" s="147"/>
      <c r="D6" s="139"/>
      <c r="E6" s="139"/>
      <c r="F6" s="139"/>
      <c r="G6" s="139"/>
      <c r="H6" s="139"/>
      <c r="I6" s="139"/>
      <c r="J6" s="139"/>
      <c r="K6" s="139"/>
      <c r="L6" s="139"/>
      <c r="M6" s="139"/>
      <c r="N6" s="139"/>
      <c r="O6" s="140"/>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row>
    <row r="7" spans="1:66" x14ac:dyDescent="0.3">
      <c r="A7" s="191" t="s">
        <v>134</v>
      </c>
      <c r="B7" s="192"/>
      <c r="C7" s="192"/>
      <c r="D7" s="192"/>
      <c r="E7" s="192"/>
      <c r="F7" s="192"/>
      <c r="G7" s="192"/>
      <c r="H7" s="193"/>
      <c r="I7" s="191" t="s">
        <v>135</v>
      </c>
      <c r="J7" s="192"/>
      <c r="K7" s="192"/>
      <c r="L7" s="192"/>
      <c r="M7" s="192"/>
      <c r="N7" s="192"/>
      <c r="O7" s="193"/>
      <c r="P7" s="191" t="s">
        <v>136</v>
      </c>
      <c r="Q7" s="192"/>
      <c r="R7" s="192"/>
      <c r="S7" s="192"/>
      <c r="T7" s="192"/>
      <c r="U7" s="192"/>
      <c r="V7" s="192"/>
      <c r="W7" s="192"/>
      <c r="X7" s="193"/>
      <c r="Y7" s="191" t="s">
        <v>137</v>
      </c>
      <c r="Z7" s="192"/>
      <c r="AA7" s="192"/>
      <c r="AB7" s="192"/>
      <c r="AC7" s="192"/>
      <c r="AD7" s="192"/>
      <c r="AE7" s="193"/>
      <c r="AF7" s="191" t="s">
        <v>34</v>
      </c>
      <c r="AG7" s="192"/>
      <c r="AH7" s="192"/>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row>
    <row r="8" spans="1:66" ht="16.5" customHeight="1" x14ac:dyDescent="0.3">
      <c r="A8" s="216" t="s">
        <v>0</v>
      </c>
      <c r="B8" s="138"/>
      <c r="C8" s="221" t="s">
        <v>2</v>
      </c>
      <c r="D8" s="219" t="s">
        <v>3</v>
      </c>
      <c r="E8" s="219" t="s">
        <v>40</v>
      </c>
      <c r="F8" s="220" t="s">
        <v>1</v>
      </c>
      <c r="G8" s="218" t="s">
        <v>46</v>
      </c>
      <c r="H8" s="219" t="s">
        <v>130</v>
      </c>
      <c r="I8" s="232" t="s">
        <v>33</v>
      </c>
      <c r="J8" s="233" t="s">
        <v>5</v>
      </c>
      <c r="K8" s="218" t="s">
        <v>83</v>
      </c>
      <c r="L8" s="218" t="s">
        <v>88</v>
      </c>
      <c r="M8" s="235" t="s">
        <v>41</v>
      </c>
      <c r="N8" s="233" t="s">
        <v>5</v>
      </c>
      <c r="O8" s="219" t="s">
        <v>44</v>
      </c>
      <c r="P8" s="222" t="s">
        <v>11</v>
      </c>
      <c r="Q8" s="212" t="s">
        <v>157</v>
      </c>
      <c r="R8" s="218" t="s">
        <v>12</v>
      </c>
      <c r="S8" s="212" t="s">
        <v>8</v>
      </c>
      <c r="T8" s="212"/>
      <c r="U8" s="212"/>
      <c r="V8" s="212"/>
      <c r="W8" s="212"/>
      <c r="X8" s="212"/>
      <c r="Y8" s="227" t="s">
        <v>133</v>
      </c>
      <c r="Z8" s="227" t="s">
        <v>42</v>
      </c>
      <c r="AA8" s="227" t="s">
        <v>5</v>
      </c>
      <c r="AB8" s="227" t="s">
        <v>43</v>
      </c>
      <c r="AC8" s="227" t="s">
        <v>5</v>
      </c>
      <c r="AD8" s="227" t="s">
        <v>45</v>
      </c>
      <c r="AE8" s="222" t="s">
        <v>29</v>
      </c>
      <c r="AF8" s="212" t="s">
        <v>34</v>
      </c>
      <c r="AG8" s="212" t="s">
        <v>35</v>
      </c>
      <c r="AH8" s="212" t="s">
        <v>36</v>
      </c>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row>
    <row r="9" spans="1:66" s="4" customFormat="1" ht="94.5" customHeight="1" x14ac:dyDescent="0.25">
      <c r="A9" s="217"/>
      <c r="B9" s="142" t="s">
        <v>190</v>
      </c>
      <c r="C9" s="221"/>
      <c r="D9" s="212"/>
      <c r="E9" s="212"/>
      <c r="F9" s="221"/>
      <c r="G9" s="219"/>
      <c r="H9" s="212"/>
      <c r="I9" s="219"/>
      <c r="J9" s="234"/>
      <c r="K9" s="219"/>
      <c r="L9" s="219"/>
      <c r="M9" s="234"/>
      <c r="N9" s="234"/>
      <c r="O9" s="212"/>
      <c r="P9" s="223"/>
      <c r="Q9" s="212"/>
      <c r="R9" s="219"/>
      <c r="S9" s="7" t="s">
        <v>13</v>
      </c>
      <c r="T9" s="7" t="s">
        <v>17</v>
      </c>
      <c r="U9" s="7" t="s">
        <v>28</v>
      </c>
      <c r="V9" s="7" t="s">
        <v>18</v>
      </c>
      <c r="W9" s="7" t="s">
        <v>21</v>
      </c>
      <c r="X9" s="7" t="s">
        <v>24</v>
      </c>
      <c r="Y9" s="227"/>
      <c r="Z9" s="227"/>
      <c r="AA9" s="227"/>
      <c r="AB9" s="227"/>
      <c r="AC9" s="227"/>
      <c r="AD9" s="227"/>
      <c r="AE9" s="223"/>
      <c r="AF9" s="212"/>
      <c r="AG9" s="212"/>
      <c r="AH9" s="212"/>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row>
    <row r="10" spans="1:66" s="3" customFormat="1" ht="72" customHeight="1" x14ac:dyDescent="0.25">
      <c r="A10" s="397">
        <v>1</v>
      </c>
      <c r="B10" s="409" t="s">
        <v>233</v>
      </c>
      <c r="C10" s="410" t="s">
        <v>128</v>
      </c>
      <c r="D10" s="410" t="s">
        <v>209</v>
      </c>
      <c r="E10" s="410" t="s">
        <v>208</v>
      </c>
      <c r="F10" s="411" t="s">
        <v>249</v>
      </c>
      <c r="G10" s="410" t="s">
        <v>119</v>
      </c>
      <c r="H10" s="398">
        <v>2</v>
      </c>
      <c r="I10" s="399" t="str">
        <f>IF(H10&lt;=0,"",IF(H10&lt;=2,"Muy Baja",IF(H10&lt;=24,"Baja",IF(H10&lt;=500,"Media",IF(H10&lt;=5000,"Alta","Muy Alta")))))</f>
        <v>Muy Baja</v>
      </c>
      <c r="J10" s="400">
        <f>IF(I10="","",IF(I10="Muy Baja",0.2,IF(I10="Baja",0.4,IF(I10="Media",0.6,IF(I10="Alta",0.8,IF(I10="Muy Alta",1,))))))</f>
        <v>0.2</v>
      </c>
      <c r="K10" s="401" t="s">
        <v>144</v>
      </c>
      <c r="L10" s="400" t="str">
        <f>IF(NOT(ISERROR(MATCH(K10,'Tabla Impacto'!$B$221:$B$223,0))),'Tabla Impacto'!$F$223&amp;"Por favor no seleccionar los criterios de impacto(Afectación Económica o presupuestal y Pérdida Reputacional)",K10)</f>
        <v xml:space="preserve">     Entre 10 y 50 SMLMV </v>
      </c>
      <c r="M10" s="399" t="str">
        <f>IF(OR(L10='Tabla Impacto'!$C$11,L10='Tabla Impacto'!$D$11),"Leve",IF(OR(L10='Tabla Impacto'!$C$12,L10='Tabla Impacto'!$D$12),"Menor",IF(OR(L10='Tabla Impacto'!$C$13,L10='Tabla Impacto'!$D$13),"Moderado",IF(OR(L10='Tabla Impacto'!$C$14,L10='Tabla Impacto'!$D$14),"Mayor",IF(OR(L10='Tabla Impacto'!$C$15,L10='Tabla Impacto'!$D$15),"Catastrófico","")))))</f>
        <v>Menor</v>
      </c>
      <c r="N10" s="400">
        <f>IF(M10="","",IF(M10="Leve",0.2,IF(M10="Menor",0.4,IF(M10="Moderado",0.6,IF(M10="Mayor",0.8,IF(M10="Catastrófico",1,))))))</f>
        <v>0.4</v>
      </c>
      <c r="O10" s="402" t="str">
        <f>IF(OR(AND(I10="Muy Baja",M10="Leve"),AND(I10="Muy Baja",M10="Menor"),AND(I10="Baja",M10="Leve")),"Bajo",IF(OR(AND(I10="Muy baja",M10="Moderado"),AND(I10="Baja",M10="Menor"),AND(I10="Baja",M10="Moderado"),AND(I10="Media",M10="Leve"),AND(I10="Media",M10="Menor"),AND(I10="Media",M10="Moderado"),AND(I10="Alta",M10="Leve"),AND(I10="Alta",M10="Menor")),"Moderado",IF(OR(AND(I10="Muy Baja",M10="Mayor"),AND(I10="Baja",M10="Mayor"),AND(I10="Media",M10="Mayor"),AND(I10="Alta",M10="Moderado"),AND(I10="Alta",M10="Mayor"),AND(I10="Muy Alta",M10="Leve"),AND(I10="Muy Alta",M10="Menor"),AND(I10="Muy Alta",M10="Moderado"),AND(I10="Muy Alta",M10="Mayor")),"Alto",IF(OR(AND(I10="Muy Baja",M10="Catastrófico"),AND(I10="Baja",M10="Catastrófico"),AND(I10="Media",M10="Catastrófico"),AND(I10="Alta",M10="Catastrófico"),AND(I10="Muy Alta",M10="Catastrófico")),"Extremo",""))))</f>
        <v>Bajo</v>
      </c>
      <c r="P10" s="123">
        <v>1</v>
      </c>
      <c r="Q10" s="394" t="s">
        <v>250</v>
      </c>
      <c r="R10" s="386" t="str">
        <f t="shared" ref="R10:R30" si="0">IF(OR(S10="Preventivo",S10="Detectivo"),"Probabilidad",IF(S10="Correctivo","Impacto",""))</f>
        <v>Probabilidad</v>
      </c>
      <c r="S10" s="387" t="s">
        <v>14</v>
      </c>
      <c r="T10" s="387" t="s">
        <v>9</v>
      </c>
      <c r="U10" s="388" t="str">
        <f>IF(AND(S10="Preventivo",T10="Automático"),"50%",IF(AND(S10="Preventivo",T10="Manual"),"40%",IF(AND(S10="Detectivo",T10="Automático"),"40%",IF(AND(S10="Detectivo",T10="Manual"),"30%",IF(AND(S10="Correctivo",T10="Automático"),"35%",IF(AND(S10="Correctivo",T10="Manual"),"25%",""))))))</f>
        <v>40%</v>
      </c>
      <c r="V10" s="396" t="s">
        <v>19</v>
      </c>
      <c r="W10" s="387" t="s">
        <v>23</v>
      </c>
      <c r="X10" s="396" t="s">
        <v>115</v>
      </c>
      <c r="Y10" s="389">
        <f>IFERROR(IF(R10="Probabilidad",(J10-(+J10*U10)),IF(R10="Impacto",J10,"")),"")</f>
        <v>0.12</v>
      </c>
      <c r="Z10" s="392" t="str">
        <f>IFERROR(IF(Y10="","",IF(Y10&lt;=0.2,"Muy Baja",IF(Y10&lt;=0.4,"Baja",IF(Y10&lt;=0.6,"Media",IF(Y10&lt;=0.8,"Alta","Muy Alta"))))),"")</f>
        <v>Muy Baja</v>
      </c>
      <c r="AA10" s="391">
        <f>+Y10</f>
        <v>0.12</v>
      </c>
      <c r="AB10" s="392" t="str">
        <f>IFERROR(IF(AC10="","",IF(AC10&lt;=0.2,"Leve",IF(AC10&lt;=0.4,"Menor",IF(AC10&lt;=0.6,"Moderado",IF(AC10&lt;=0.8,"Mayor","Catastrófico"))))),"")</f>
        <v>Menor</v>
      </c>
      <c r="AC10" s="391">
        <f>IFERROR(IF(R10="Impacto",(N10-(+N10*U10)),IF(R10="Probabilidad",N10,"")),"")</f>
        <v>0.4</v>
      </c>
      <c r="AD10" s="392" t="str">
        <f>IFERROR(IF(OR(AND(Z10="Muy Baja",AB10="Leve"),AND(Z10="Muy Baja",AB10="Menor"),AND(Z10="Baja",AB10="Leve")),"Bajo",IF(OR(AND(Z10="Muy baja",AB10="Moderado"),AND(Z10="Baja",AB10="Menor"),AND(Z10="Baja",AB10="Moderado"),AND(Z10="Media",AB10="Leve"),AND(Z10="Media",AB10="Menor"),AND(Z10="Media",AB10="Moderado"),AND(Z10="Alta",AB10="Leve"),AND(Z10="Alta",AB10="Menor")),"Moderado",IF(OR(AND(Z10="Muy Baja",AB10="Mayor"),AND(Z10="Baja",AB10="Mayor"),AND(Z10="Media",AB10="Mayor"),AND(Z10="Alta",AB10="Moderado"),AND(Z10="Alta",AB10="Mayor"),AND(Z10="Muy Alta",AB10="Leve"),AND(Z10="Muy Alta",AB10="Menor"),AND(Z10="Muy Alta",AB10="Moderado"),AND(Z10="Muy Alta",AB10="Mayor")),"Alto",IF(OR(AND(Z10="Muy Baja",AB10="Catastrófico"),AND(Z10="Baja",AB10="Catastrófico"),AND(Z10="Media",AB10="Catastrófico"),AND(Z10="Alta",AB10="Catastrófico"),AND(Z10="Muy Alta",AB10="Catastrófico")),"Extremo","")))),"")</f>
        <v>Bajo</v>
      </c>
      <c r="AE10" s="395" t="s">
        <v>131</v>
      </c>
      <c r="AF10" s="143" t="s">
        <v>251</v>
      </c>
      <c r="AG10" s="143" t="s">
        <v>252</v>
      </c>
      <c r="AH10" s="144">
        <v>45656</v>
      </c>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row>
    <row r="11" spans="1:66" ht="27" customHeight="1" x14ac:dyDescent="0.3">
      <c r="A11" s="403"/>
      <c r="B11" s="412"/>
      <c r="C11" s="413"/>
      <c r="D11" s="413"/>
      <c r="E11" s="413"/>
      <c r="F11" s="414"/>
      <c r="G11" s="413"/>
      <c r="H11" s="404"/>
      <c r="I11" s="405"/>
      <c r="J11" s="406"/>
      <c r="K11" s="407"/>
      <c r="L11" s="406">
        <f>IF(NOT(ISERROR(MATCH(K11,_xlfn.ANCHORARRAY(F16),0))),J18&amp;"Por favor no seleccionar los criterios de impacto",K11)</f>
        <v>0</v>
      </c>
      <c r="M11" s="405"/>
      <c r="N11" s="406"/>
      <c r="O11" s="408"/>
      <c r="P11" s="123">
        <v>2</v>
      </c>
      <c r="Q11" s="124"/>
      <c r="R11" s="125" t="str">
        <f t="shared" si="0"/>
        <v/>
      </c>
      <c r="S11" s="126"/>
      <c r="T11" s="126"/>
      <c r="U11" s="127" t="str">
        <f t="shared" ref="U11:U12" si="1">IF(AND(S11="Preventivo",T11="Automático"),"50%",IF(AND(S11="Preventivo",T11="Manual"),"40%",IF(AND(S11="Detectivo",T11="Automático"),"40%",IF(AND(S11="Detectivo",T11="Manual"),"30%",IF(AND(S11="Correctivo",T11="Automático"),"35%",IF(AND(S11="Correctivo",T11="Manual"),"25%",""))))))</f>
        <v/>
      </c>
      <c r="V11" s="126"/>
      <c r="W11" s="126"/>
      <c r="X11" s="126"/>
      <c r="Y11" s="128" t="str">
        <f>IFERROR(IF(AND(R10="Probabilidad",R11="Probabilidad"),(AA10-(+AA10*U11)),IF(R11="Probabilidad",(J10-(+J10*U11)),IF(R11="Impacto",AA10,""))),"")</f>
        <v/>
      </c>
      <c r="Z11" s="129" t="str">
        <f t="shared" ref="Z11:Z30" si="2">IFERROR(IF(Y11="","",IF(Y11&lt;=0.2,"Muy Baja",IF(Y11&lt;=0.4,"Baja",IF(Y11&lt;=0.6,"Media",IF(Y11&lt;=0.8,"Alta","Muy Alta"))))),"")</f>
        <v/>
      </c>
      <c r="AA11" s="130" t="str">
        <f t="shared" ref="AA11:AA12" si="3">+Y11</f>
        <v/>
      </c>
      <c r="AB11" s="129" t="str">
        <f t="shared" ref="AB11:AB30" si="4">IFERROR(IF(AC11="","",IF(AC11&lt;=0.2,"Leve",IF(AC11&lt;=0.4,"Menor",IF(AC11&lt;=0.6,"Moderado",IF(AC11&lt;=0.8,"Mayor","Catastrófico"))))),"")</f>
        <v/>
      </c>
      <c r="AC11" s="130" t="str">
        <f>IFERROR(IF(AND(R10="Impacto",R11="Impacto"),(AC10-(+AC10*U11)),IF(R11="Impacto",(N10-(+N10*U11)),IF(R11="Probabilidad",AC10,""))),"")</f>
        <v/>
      </c>
      <c r="AD11" s="131" t="str">
        <f t="shared" ref="AD11:AD12" si="5">IFERROR(IF(OR(AND(Z11="Muy Baja",AB11="Leve"),AND(Z11="Muy Baja",AB11="Menor"),AND(Z11="Baja",AB11="Leve")),"Bajo",IF(OR(AND(Z11="Muy baja",AB11="Moderado"),AND(Z11="Baja",AB11="Menor"),AND(Z11="Baja",AB11="Moderado"),AND(Z11="Media",AB11="Leve"),AND(Z11="Media",AB11="Menor"),AND(Z11="Media",AB11="Moderado"),AND(Z11="Alta",AB11="Leve"),AND(Z11="Alta",AB11="Menor")),"Moderado",IF(OR(AND(Z11="Muy Baja",AB11="Mayor"),AND(Z11="Baja",AB11="Mayor"),AND(Z11="Media",AB11="Mayor"),AND(Z11="Alta",AB11="Moderado"),AND(Z11="Alta",AB11="Mayor"),AND(Z11="Muy Alta",AB11="Leve"),AND(Z11="Muy Alta",AB11="Menor"),AND(Z11="Muy Alta",AB11="Moderado"),AND(Z11="Muy Alta",AB11="Mayor")),"Alto",IF(OR(AND(Z11="Muy Baja",AB11="Catastrófico"),AND(Z11="Baja",AB11="Catastrófico"),AND(Z11="Media",AB11="Catastrófico"),AND(Z11="Alta",AB11="Catastrófico"),AND(Z11="Muy Alta",AB11="Catastrófico")),"Extremo","")))),"")</f>
        <v/>
      </c>
      <c r="AE11" s="132"/>
      <c r="AF11" s="133"/>
      <c r="AG11" s="134"/>
      <c r="AH11" s="135"/>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row>
    <row r="12" spans="1:66" ht="24.75" customHeight="1" x14ac:dyDescent="0.3">
      <c r="A12" s="403"/>
      <c r="B12" s="412"/>
      <c r="C12" s="413"/>
      <c r="D12" s="413"/>
      <c r="E12" s="413"/>
      <c r="F12" s="414"/>
      <c r="G12" s="413"/>
      <c r="H12" s="404"/>
      <c r="I12" s="405"/>
      <c r="J12" s="406"/>
      <c r="K12" s="407"/>
      <c r="L12" s="406">
        <f>IF(NOT(ISERROR(MATCH(K12,_xlfn.ANCHORARRAY(F17),0))),#REF!&amp;"Por favor no seleccionar los criterios de impacto",K12)</f>
        <v>0</v>
      </c>
      <c r="M12" s="405"/>
      <c r="N12" s="406"/>
      <c r="O12" s="408"/>
      <c r="P12" s="123">
        <v>3</v>
      </c>
      <c r="Q12" s="136"/>
      <c r="R12" s="125" t="str">
        <f t="shared" si="0"/>
        <v/>
      </c>
      <c r="S12" s="126"/>
      <c r="T12" s="126"/>
      <c r="U12" s="127" t="str">
        <f t="shared" si="1"/>
        <v/>
      </c>
      <c r="V12" s="126"/>
      <c r="W12" s="126"/>
      <c r="X12" s="126"/>
      <c r="Y12" s="128" t="str">
        <f>IFERROR(IF(AND(R11="Probabilidad",R12="Probabilidad"),(AA11-(+AA11*U12)),IF(AND(R11="Impacto",R12="Probabilidad"),(AA10-(+AA10*U12)),IF(R12="Impacto",AA11,""))),"")</f>
        <v/>
      </c>
      <c r="Z12" s="129" t="str">
        <f t="shared" si="2"/>
        <v/>
      </c>
      <c r="AA12" s="130" t="str">
        <f t="shared" si="3"/>
        <v/>
      </c>
      <c r="AB12" s="129" t="str">
        <f t="shared" si="4"/>
        <v/>
      </c>
      <c r="AC12" s="130" t="str">
        <f>IFERROR(IF(AND(R11="Impacto",R12="Impacto"),(AC11-(+AC11*U12)),IF(AND(R11="Probabilidad",R12="Impacto"),(AC10-(+AC10*U12)),IF(R12="Probabilidad",AC11,""))),"")</f>
        <v/>
      </c>
      <c r="AD12" s="131" t="str">
        <f t="shared" si="5"/>
        <v/>
      </c>
      <c r="AE12" s="132"/>
      <c r="AF12" s="133"/>
      <c r="AG12" s="134"/>
      <c r="AH12" s="135"/>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row>
    <row r="13" spans="1:66" ht="64.5" customHeight="1" x14ac:dyDescent="0.3">
      <c r="A13" s="397">
        <v>2</v>
      </c>
      <c r="B13" s="409" t="s">
        <v>253</v>
      </c>
      <c r="C13" s="410" t="s">
        <v>128</v>
      </c>
      <c r="D13" s="410" t="s">
        <v>214</v>
      </c>
      <c r="E13" s="410" t="s">
        <v>213</v>
      </c>
      <c r="F13" s="411" t="s">
        <v>210</v>
      </c>
      <c r="G13" s="410" t="s">
        <v>119</v>
      </c>
      <c r="H13" s="398">
        <f>52+12+2+4</f>
        <v>70</v>
      </c>
      <c r="I13" s="417" t="str">
        <f>IF(H13&lt;=0,"",IF(H13&lt;=2,"Muy Baja",IF(H13&lt;=24,"Baja",IF(H13&lt;=500,"Media",IF(H13&lt;=5000,"Alta","Muy Alta")))))</f>
        <v>Media</v>
      </c>
      <c r="J13" s="418">
        <f>IF(I13="","",IF(I13="Muy Baja",0.2,IF(I13="Baja",0.4,IF(I13="Media",0.6,IF(I13="Alta",0.8,IF(I13="Muy Alta",1,))))))</f>
        <v>0.6</v>
      </c>
      <c r="K13" s="419" t="s">
        <v>143</v>
      </c>
      <c r="L13" s="418" t="str">
        <f>IF(NOT(ISERROR(MATCH(K13,'Tabla Impacto'!$B$221:$B$223,0))),'Tabla Impacto'!$F$223&amp;"Por favor no seleccionar los criterios de impacto(Afectación Económica o presupuestal y Pérdida Reputacional)",K13)</f>
        <v xml:space="preserve">     Entre 50 y 100 SMLMV </v>
      </c>
      <c r="M13" s="417" t="str">
        <f>IF(OR(L13='Tabla Impacto'!$C$11,L13='Tabla Impacto'!$D$11),"Leve",IF(OR(L13='Tabla Impacto'!$C$12,L13='Tabla Impacto'!$D$12),"Menor",IF(OR(L13='Tabla Impacto'!$C$13,L13='Tabla Impacto'!$D$13),"Moderado",IF(OR(L13='Tabla Impacto'!$C$14,L13='Tabla Impacto'!$D$14),"Mayor",IF(OR(L13='Tabla Impacto'!$C$15,L13='Tabla Impacto'!$D$15),"Catastrófico","")))))</f>
        <v>Moderado</v>
      </c>
      <c r="N13" s="418">
        <f>IF(M13="","",IF(M13="Leve",0.2,IF(M13="Menor",0.4,IF(M13="Moderado",0.6,IF(M13="Mayor",0.8,IF(M13="Catastrófico",1,))))))</f>
        <v>0.6</v>
      </c>
      <c r="O13" s="420" t="str">
        <f>IF(OR(AND(I13="Muy Baja",M13="Leve"),AND(I13="Muy Baja",M13="Menor"),AND(I13="Baja",M13="Leve")),"Bajo",IF(OR(AND(I13="Muy baja",M13="Moderado"),AND(I13="Baja",M13="Menor"),AND(I13="Baja",M13="Moderado"),AND(I13="Media",M13="Leve"),AND(I13="Media",M13="Menor"),AND(I13="Media",M13="Moderado"),AND(I13="Alta",M13="Leve"),AND(I13="Alta",M13="Menor")),"Moderado",IF(OR(AND(I13="Muy Baja",M13="Mayor"),AND(I13="Baja",M13="Mayor"),AND(I13="Media",M13="Mayor"),AND(I13="Alta",M13="Moderado"),AND(I13="Alta",M13="Mayor"),AND(I13="Muy Alta",M13="Leve"),AND(I13="Muy Alta",M13="Menor"),AND(I13="Muy Alta",M13="Moderado"),AND(I13="Muy Alta",M13="Mayor")),"Alto",IF(OR(AND(I13="Muy Baja",M13="Catastrófico"),AND(I13="Baja",M13="Catastrófico"),AND(I13="Media",M13="Catastrófico"),AND(I13="Alta",M13="Catastrófico"),AND(I13="Muy Alta",M13="Catastrófico")),"Extremo",""))))</f>
        <v>Moderado</v>
      </c>
      <c r="P13" s="123">
        <v>1</v>
      </c>
      <c r="Q13" s="385" t="s">
        <v>254</v>
      </c>
      <c r="R13" s="386" t="str">
        <f t="shared" si="0"/>
        <v>Probabilidad</v>
      </c>
      <c r="S13" s="387" t="s">
        <v>14</v>
      </c>
      <c r="T13" s="387" t="s">
        <v>9</v>
      </c>
      <c r="U13" s="388" t="str">
        <f>IF(AND(S13="Preventivo",T13="Automático"),"50%",IF(AND(S13="Preventivo",T13="Manual"),"40%",IF(AND(S13="Detectivo",T13="Automático"),"40%",IF(AND(S13="Detectivo",T13="Manual"),"30%",IF(AND(S13="Correctivo",T13="Automático"),"35%",IF(AND(S13="Correctivo",T13="Manual"),"25%",""))))))</f>
        <v>40%</v>
      </c>
      <c r="V13" s="387" t="s">
        <v>19</v>
      </c>
      <c r="W13" s="387" t="s">
        <v>22</v>
      </c>
      <c r="X13" s="387" t="s">
        <v>115</v>
      </c>
      <c r="Y13" s="389">
        <f>IFERROR(IF(R13="Probabilidad",(J13-(+J13*U13)),IF(R13="Impacto",J13,"")),"")</f>
        <v>0.36</v>
      </c>
      <c r="Z13" s="390" t="str">
        <f>IFERROR(IF(Y13="","",IF(Y13&lt;=0.2,"Muy Baja",IF(Y13&lt;=0.4,"Baja",IF(Y13&lt;=0.6,"Media",IF(Y13&lt;=0.8,"Alta","Muy Alta"))))),"")</f>
        <v>Baja</v>
      </c>
      <c r="AA13" s="391">
        <f>+Y13</f>
        <v>0.36</v>
      </c>
      <c r="AB13" s="390" t="str">
        <f>IFERROR(IF(AC13="","",IF(AC13&lt;=0.2,"Leve",IF(AC13&lt;=0.4,"Menor",IF(AC13&lt;=0.6,"Moderado",IF(AC13&lt;=0.8,"Mayor","Catastrófico"))))),"")</f>
        <v>Moderado</v>
      </c>
      <c r="AC13" s="391">
        <f>IFERROR(IF(R13="Impacto",(N13-(+N13*U13)),IF(R13="Probabilidad",N13,"")),"")</f>
        <v>0.6</v>
      </c>
      <c r="AD13" s="392" t="str">
        <f>IFERROR(IF(OR(AND(Z13="Muy Baja",AB13="Leve"),AND(Z13="Muy Baja",AB13="Menor"),AND(Z13="Baja",AB13="Leve")),"Bajo",IF(OR(AND(Z13="Muy baja",AB13="Moderado"),AND(Z13="Baja",AB13="Menor"),AND(Z13="Baja",AB13="Moderado"),AND(Z13="Media",AB13="Leve"),AND(Z13="Media",AB13="Menor"),AND(Z13="Media",AB13="Moderado"),AND(Z13="Alta",AB13="Leve"),AND(Z13="Alta",AB13="Menor")),"Moderado",IF(OR(AND(Z13="Muy Baja",AB13="Mayor"),AND(Z13="Baja",AB13="Mayor"),AND(Z13="Media",AB13="Mayor"),AND(Z13="Alta",AB13="Moderado"),AND(Z13="Alta",AB13="Mayor"),AND(Z13="Muy Alta",AB13="Leve"),AND(Z13="Muy Alta",AB13="Menor"),AND(Z13="Muy Alta",AB13="Moderado"),AND(Z13="Muy Alta",AB13="Mayor")),"Alto",IF(OR(AND(Z13="Muy Baja",AB13="Catastrófico"),AND(Z13="Baja",AB13="Catastrófico"),AND(Z13="Media",AB13="Catastrófico"),AND(Z13="Alta",AB13="Catastrófico"),AND(Z13="Muy Alta",AB13="Catastrófico")),"Extremo","")))),"")</f>
        <v>Moderado</v>
      </c>
      <c r="AE13" s="395" t="s">
        <v>131</v>
      </c>
      <c r="AF13" s="143" t="s">
        <v>238</v>
      </c>
      <c r="AG13" s="426" t="s">
        <v>212</v>
      </c>
      <c r="AH13" s="144">
        <v>45656</v>
      </c>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row>
    <row r="14" spans="1:66" ht="30" customHeight="1" x14ac:dyDescent="0.3">
      <c r="A14" s="403"/>
      <c r="B14" s="412"/>
      <c r="C14" s="413"/>
      <c r="D14" s="413"/>
      <c r="E14" s="413"/>
      <c r="F14" s="414"/>
      <c r="G14" s="413"/>
      <c r="H14" s="404"/>
      <c r="I14" s="422"/>
      <c r="J14" s="423"/>
      <c r="K14" s="424"/>
      <c r="L14" s="423">
        <f>IF(NOT(ISERROR(MATCH(K14,_xlfn.ANCHORARRAY(F19),0))),J21&amp;"Por favor no seleccionar los criterios de impacto",K14)</f>
        <v>0</v>
      </c>
      <c r="M14" s="422"/>
      <c r="N14" s="423"/>
      <c r="O14" s="425"/>
      <c r="P14" s="123">
        <v>2</v>
      </c>
      <c r="Q14" s="124"/>
      <c r="R14" s="125" t="str">
        <f t="shared" si="0"/>
        <v/>
      </c>
      <c r="S14" s="126"/>
      <c r="T14" s="126"/>
      <c r="U14" s="127" t="str">
        <f t="shared" ref="U14:U15" si="6">IF(AND(S14="Preventivo",T14="Automático"),"50%",IF(AND(S14="Preventivo",T14="Manual"),"40%",IF(AND(S14="Detectivo",T14="Automático"),"40%",IF(AND(S14="Detectivo",T14="Manual"),"30%",IF(AND(S14="Correctivo",T14="Automático"),"35%",IF(AND(S14="Correctivo",T14="Manual"),"25%",""))))))</f>
        <v/>
      </c>
      <c r="V14" s="126"/>
      <c r="W14" s="126"/>
      <c r="X14" s="126"/>
      <c r="Y14" s="128" t="str">
        <f>IFERROR(IF(AND(R13="Probabilidad",R14="Probabilidad"),(AA13-(+AA13*U14)),IF(R14="Probabilidad",(J13-(+J13*U14)),IF(R14="Impacto",AA13,""))),"")</f>
        <v/>
      </c>
      <c r="Z14" s="129" t="str">
        <f t="shared" si="2"/>
        <v/>
      </c>
      <c r="AA14" s="130" t="str">
        <f t="shared" ref="AA14:AA15" si="7">+Y14</f>
        <v/>
      </c>
      <c r="AB14" s="129" t="str">
        <f t="shared" si="4"/>
        <v/>
      </c>
      <c r="AC14" s="130" t="str">
        <f>IFERROR(IF(AND(R13="Impacto",R14="Impacto"),(AC13-(+AC13*U14)),IF(R14="Impacto",(N13-(+N13*U14)),IF(R14="Probabilidad",AC13,""))),"")</f>
        <v/>
      </c>
      <c r="AD14" s="131" t="str">
        <f t="shared" ref="AD14:AD15" si="8">IFERROR(IF(OR(AND(Z14="Muy Baja",AB14="Leve"),AND(Z14="Muy Baja",AB14="Menor"),AND(Z14="Baja",AB14="Leve")),"Bajo",IF(OR(AND(Z14="Muy baja",AB14="Moderado"),AND(Z14="Baja",AB14="Menor"),AND(Z14="Baja",AB14="Moderado"),AND(Z14="Media",AB14="Leve"),AND(Z14="Media",AB14="Menor"),AND(Z14="Media",AB14="Moderado"),AND(Z14="Alta",AB14="Leve"),AND(Z14="Alta",AB14="Menor")),"Moderado",IF(OR(AND(Z14="Muy Baja",AB14="Mayor"),AND(Z14="Baja",AB14="Mayor"),AND(Z14="Media",AB14="Mayor"),AND(Z14="Alta",AB14="Moderado"),AND(Z14="Alta",AB14="Mayor"),AND(Z14="Muy Alta",AB14="Leve"),AND(Z14="Muy Alta",AB14="Menor"),AND(Z14="Muy Alta",AB14="Moderado"),AND(Z14="Muy Alta",AB14="Mayor")),"Alto",IF(OR(AND(Z14="Muy Baja",AB14="Catastrófico"),AND(Z14="Baja",AB14="Catastrófico"),AND(Z14="Media",AB14="Catastrófico"),AND(Z14="Alta",AB14="Catastrófico"),AND(Z14="Muy Alta",AB14="Catastrófico")),"Extremo","")))),"")</f>
        <v/>
      </c>
      <c r="AE14" s="132"/>
      <c r="AF14" s="133"/>
      <c r="AG14" s="134"/>
      <c r="AH14" s="135"/>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row>
    <row r="15" spans="1:66" ht="40.5" customHeight="1" x14ac:dyDescent="0.3">
      <c r="A15" s="403"/>
      <c r="B15" s="412"/>
      <c r="C15" s="413"/>
      <c r="D15" s="413"/>
      <c r="E15" s="413"/>
      <c r="F15" s="414"/>
      <c r="G15" s="413"/>
      <c r="H15" s="404"/>
      <c r="I15" s="422"/>
      <c r="J15" s="423"/>
      <c r="K15" s="424"/>
      <c r="L15" s="423">
        <f>IF(NOT(ISERROR(MATCH(K15,_xlfn.ANCHORARRAY(F20),0))),#REF!&amp;"Por favor no seleccionar los criterios de impacto",K15)</f>
        <v>0</v>
      </c>
      <c r="M15" s="422"/>
      <c r="N15" s="423"/>
      <c r="O15" s="425"/>
      <c r="P15" s="123">
        <v>3</v>
      </c>
      <c r="Q15" s="136"/>
      <c r="R15" s="125" t="str">
        <f t="shared" si="0"/>
        <v/>
      </c>
      <c r="S15" s="126"/>
      <c r="T15" s="126"/>
      <c r="U15" s="127" t="str">
        <f t="shared" si="6"/>
        <v/>
      </c>
      <c r="V15" s="126"/>
      <c r="W15" s="126"/>
      <c r="X15" s="126"/>
      <c r="Y15" s="128" t="str">
        <f>IFERROR(IF(AND(R14="Probabilidad",R15="Probabilidad"),(AA14-(+AA14*U15)),IF(AND(R14="Impacto",R15="Probabilidad"),(AA13-(+AA13*U15)),IF(R15="Impacto",AA14,""))),"")</f>
        <v/>
      </c>
      <c r="Z15" s="129" t="str">
        <f t="shared" si="2"/>
        <v/>
      </c>
      <c r="AA15" s="130" t="str">
        <f t="shared" si="7"/>
        <v/>
      </c>
      <c r="AB15" s="129" t="str">
        <f t="shared" si="4"/>
        <v/>
      </c>
      <c r="AC15" s="130" t="str">
        <f>IFERROR(IF(AND(R14="Impacto",R15="Impacto"),(AC14-(+AC14*U15)),IF(AND(R14="Probabilidad",R15="Impacto"),(AC13-(+AC13*U15)),IF(R15="Probabilidad",AC14,""))),"")</f>
        <v/>
      </c>
      <c r="AD15" s="131" t="str">
        <f t="shared" si="8"/>
        <v/>
      </c>
      <c r="AE15" s="132"/>
      <c r="AF15" s="133"/>
      <c r="AG15" s="134"/>
      <c r="AH15" s="135"/>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row>
    <row r="16" spans="1:66" ht="49.5" customHeight="1" x14ac:dyDescent="0.3">
      <c r="A16" s="397">
        <v>3</v>
      </c>
      <c r="B16" s="415" t="s">
        <v>217</v>
      </c>
      <c r="C16" s="410" t="s">
        <v>128</v>
      </c>
      <c r="D16" s="410" t="s">
        <v>216</v>
      </c>
      <c r="E16" s="410" t="s">
        <v>215</v>
      </c>
      <c r="F16" s="411" t="s">
        <v>211</v>
      </c>
      <c r="G16" s="410" t="s">
        <v>119</v>
      </c>
      <c r="H16" s="398">
        <v>1</v>
      </c>
      <c r="I16" s="417" t="str">
        <f>IF(H16&lt;=0,"",IF(H16&lt;=2,"Muy Baja",IF(H16&lt;=24,"Baja",IF(H16&lt;=500,"Media",IF(H16&lt;=5000,"Alta","Muy Alta")))))</f>
        <v>Muy Baja</v>
      </c>
      <c r="J16" s="418">
        <f>IF(I16="","",IF(I16="Muy Baja",0.2,IF(I16="Baja",0.4,IF(I16="Media",0.6,IF(I16="Alta",0.8,IF(I16="Muy Alta",1,))))))</f>
        <v>0.2</v>
      </c>
      <c r="K16" s="419" t="s">
        <v>143</v>
      </c>
      <c r="L16" s="418" t="str">
        <f>IF(NOT(ISERROR(MATCH(K16,'Tabla Impacto'!$B$221:$B$223,0))),'Tabla Impacto'!$F$223&amp;"Por favor no seleccionar los criterios de impacto(Afectación Económica o presupuestal y Pérdida Reputacional)",K16)</f>
        <v xml:space="preserve">     Entre 50 y 100 SMLMV </v>
      </c>
      <c r="M16" s="417" t="str">
        <f>IF(OR(L16='Tabla Impacto'!$C$11,L16='Tabla Impacto'!$D$11),"Leve",IF(OR(L16='Tabla Impacto'!$C$12,L16='Tabla Impacto'!$D$12),"Menor",IF(OR(L16='Tabla Impacto'!$C$13,L16='Tabla Impacto'!$D$13),"Moderado",IF(OR(L16='Tabla Impacto'!$C$14,L16='Tabla Impacto'!$D$14),"Mayor",IF(OR(L16='Tabla Impacto'!$C$15,L16='Tabla Impacto'!$D$15),"Catastrófico","")))))</f>
        <v>Moderado</v>
      </c>
      <c r="N16" s="418">
        <f>IF(M16="","",IF(M16="Leve",0.2,IF(M16="Menor",0.4,IF(M16="Moderado",0.6,IF(M16="Mayor",0.8,IF(M16="Catastrófico",1,))))))</f>
        <v>0.6</v>
      </c>
      <c r="O16" s="420" t="str">
        <f>IF(OR(AND(I16="Muy Baja",M16="Leve"),AND(I16="Muy Baja",M16="Menor"),AND(I16="Baja",M16="Leve")),"Bajo",IF(OR(AND(I16="Muy baja",M16="Moderado"),AND(I16="Baja",M16="Menor"),AND(I16="Baja",M16="Moderado"),AND(I16="Media",M16="Leve"),AND(I16="Media",M16="Menor"),AND(I16="Media",M16="Moderado"),AND(I16="Alta",M16="Leve"),AND(I16="Alta",M16="Menor")),"Moderado",IF(OR(AND(I16="Muy Baja",M16="Mayor"),AND(I16="Baja",M16="Mayor"),AND(I16="Media",M16="Mayor"),AND(I16="Alta",M16="Moderado"),AND(I16="Alta",M16="Mayor"),AND(I16="Muy Alta",M16="Leve"),AND(I16="Muy Alta",M16="Menor"),AND(I16="Muy Alta",M16="Moderado"),AND(I16="Muy Alta",M16="Mayor")),"Alto",IF(OR(AND(I16="Muy Baja",M16="Catastrófico"),AND(I16="Baja",M16="Catastrófico"),AND(I16="Media",M16="Catastrófico"),AND(I16="Alta",M16="Catastrófico"),AND(I16="Muy Alta",M16="Catastrófico")),"Extremo",""))))</f>
        <v>Moderado</v>
      </c>
      <c r="P16" s="123">
        <v>1</v>
      </c>
      <c r="Q16" s="429" t="s">
        <v>218</v>
      </c>
      <c r="R16" s="432" t="str">
        <f t="shared" si="0"/>
        <v>Probabilidad</v>
      </c>
      <c r="S16" s="435" t="s">
        <v>15</v>
      </c>
      <c r="T16" s="435" t="s">
        <v>9</v>
      </c>
      <c r="U16" s="438" t="str">
        <f>IF(AND(S16="Preventivo",T16="Automático"),"50%",IF(AND(S16="Preventivo",T16="Manual"),"40%",IF(AND(S16="Detectivo",T16="Automático"),"40%",IF(AND(S16="Detectivo",T16="Manual"),"30%",IF(AND(S16="Correctivo",T16="Automático"),"35%",IF(AND(S16="Correctivo",T16="Manual"),"25%",""))))))</f>
        <v>30%</v>
      </c>
      <c r="V16" s="435" t="s">
        <v>19</v>
      </c>
      <c r="W16" s="435" t="s">
        <v>22</v>
      </c>
      <c r="X16" s="435" t="s">
        <v>115</v>
      </c>
      <c r="Y16" s="389">
        <f>IFERROR(IF(R16="Probabilidad",(J16-(+J16*U16)),IF(R16="Impacto",J16,"")),"")</f>
        <v>0.14000000000000001</v>
      </c>
      <c r="Z16" s="441" t="str">
        <f>IFERROR(IF(Y16="","",IF(Y16&lt;=0.2,"Muy Baja",IF(Y16&lt;=0.4,"Baja",IF(Y16&lt;=0.6,"Media",IF(Y16&lt;=0.8,"Alta","Muy Alta"))))),"")</f>
        <v>Muy Baja</v>
      </c>
      <c r="AA16" s="438">
        <f>+Y16</f>
        <v>0.14000000000000001</v>
      </c>
      <c r="AB16" s="441" t="str">
        <f>IFERROR(IF(AC16="","",IF(AC16&lt;=0.2,"Leve",IF(AC16&lt;=0.4,"Menor",IF(AC16&lt;=0.6,"Moderado",IF(AC16&lt;=0.8,"Mayor","Catastrófico"))))),"")</f>
        <v>Moderado</v>
      </c>
      <c r="AC16" s="438">
        <f>IFERROR(IF(R16="Impacto",(N16-(+N16*U16)),IF(R16="Probabilidad",N16,"")),"")</f>
        <v>0.6</v>
      </c>
      <c r="AD16" s="444" t="str">
        <f>IFERROR(IF(OR(AND(Z16="Muy Baja",AB16="Leve"),AND(Z16="Muy Baja",AB16="Menor"),AND(Z16="Baja",AB16="Leve")),"Bajo",IF(OR(AND(Z16="Muy baja",AB16="Moderado"),AND(Z16="Baja",AB16="Menor"),AND(Z16="Baja",AB16="Moderado"),AND(Z16="Media",AB16="Leve"),AND(Z16="Media",AB16="Menor"),AND(Z16="Media",AB16="Moderado"),AND(Z16="Alta",AB16="Leve"),AND(Z16="Alta",AB16="Menor")),"Moderado",IF(OR(AND(Z16="Muy Baja",AB16="Mayor"),AND(Z16="Baja",AB16="Mayor"),AND(Z16="Media",AB16="Mayor"),AND(Z16="Alta",AB16="Moderado"),AND(Z16="Alta",AB16="Mayor"),AND(Z16="Muy Alta",AB16="Leve"),AND(Z16="Muy Alta",AB16="Menor"),AND(Z16="Muy Alta",AB16="Moderado"),AND(Z16="Muy Alta",AB16="Mayor")),"Alto",IF(OR(AND(Z16="Muy Baja",AB16="Catastrófico"),AND(Z16="Baja",AB16="Catastrófico"),AND(Z16="Media",AB16="Catastrófico"),AND(Z16="Alta",AB16="Catastrófico"),AND(Z16="Muy Alta",AB16="Catastrófico")),"Extremo","")))),"")</f>
        <v>Moderado</v>
      </c>
      <c r="AE16" s="435" t="s">
        <v>131</v>
      </c>
      <c r="AF16" s="427" t="s">
        <v>219</v>
      </c>
      <c r="AG16" s="143" t="s">
        <v>222</v>
      </c>
      <c r="AH16" s="144">
        <v>45656</v>
      </c>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row>
    <row r="17" spans="1:66" ht="45" customHeight="1" x14ac:dyDescent="0.3">
      <c r="A17" s="403"/>
      <c r="B17" s="412"/>
      <c r="C17" s="413"/>
      <c r="D17" s="413"/>
      <c r="E17" s="413"/>
      <c r="F17" s="414"/>
      <c r="G17" s="413"/>
      <c r="H17" s="404"/>
      <c r="I17" s="422"/>
      <c r="J17" s="423"/>
      <c r="K17" s="424"/>
      <c r="L17" s="423">
        <f>IF(NOT(ISERROR(MATCH(K17,_xlfn.ANCHORARRAY(#REF!),0))),#REF!&amp;"Por favor no seleccionar los criterios de impacto",K17)</f>
        <v>0</v>
      </c>
      <c r="M17" s="422"/>
      <c r="N17" s="423"/>
      <c r="O17" s="425"/>
      <c r="P17" s="123">
        <v>2</v>
      </c>
      <c r="Q17" s="430"/>
      <c r="R17" s="433"/>
      <c r="S17" s="436"/>
      <c r="T17" s="436"/>
      <c r="U17" s="439"/>
      <c r="V17" s="436"/>
      <c r="W17" s="436"/>
      <c r="X17" s="436"/>
      <c r="Y17" s="137" t="str">
        <f>IFERROR(IF(AND(R16="Probabilidad",R17="Probabilidad"),(AA16-(+AA16*U17)),IF(R17="Probabilidad",(J16-(+J16*U17)),IF(R17="Impacto",AA16,""))),"")</f>
        <v/>
      </c>
      <c r="Z17" s="442"/>
      <c r="AA17" s="439"/>
      <c r="AB17" s="442"/>
      <c r="AC17" s="439"/>
      <c r="AD17" s="445"/>
      <c r="AE17" s="436"/>
      <c r="AF17" s="427" t="s">
        <v>220</v>
      </c>
      <c r="AG17" s="143" t="s">
        <v>222</v>
      </c>
      <c r="AH17" s="144">
        <v>45656</v>
      </c>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row>
    <row r="18" spans="1:66" ht="118.5" customHeight="1" x14ac:dyDescent="0.3">
      <c r="A18" s="403"/>
      <c r="B18" s="412"/>
      <c r="C18" s="413"/>
      <c r="D18" s="413"/>
      <c r="E18" s="413"/>
      <c r="F18" s="414"/>
      <c r="G18" s="413"/>
      <c r="H18" s="404"/>
      <c r="I18" s="422"/>
      <c r="J18" s="423"/>
      <c r="K18" s="424"/>
      <c r="L18" s="423">
        <f>IF(NOT(ISERROR(MATCH(K18,_xlfn.ANCHORARRAY(#REF!),0))),#REF!&amp;"Por favor no seleccionar los criterios de impacto",K18)</f>
        <v>0</v>
      </c>
      <c r="M18" s="422"/>
      <c r="N18" s="423"/>
      <c r="O18" s="425"/>
      <c r="P18" s="123">
        <v>3</v>
      </c>
      <c r="Q18" s="431"/>
      <c r="R18" s="434"/>
      <c r="S18" s="437"/>
      <c r="T18" s="437"/>
      <c r="U18" s="440"/>
      <c r="V18" s="437"/>
      <c r="W18" s="437"/>
      <c r="X18" s="437"/>
      <c r="Y18" s="128" t="str">
        <f>IFERROR(IF(AND(R17="Probabilidad",R18="Probabilidad"),(AA17-(+AA17*U18)),IF(AND(R17="Impacto",R18="Probabilidad"),(AA16-(+AA16*U18)),IF(R18="Impacto",AA17,""))),"")</f>
        <v/>
      </c>
      <c r="Z18" s="443"/>
      <c r="AA18" s="440"/>
      <c r="AB18" s="443"/>
      <c r="AC18" s="440"/>
      <c r="AD18" s="446"/>
      <c r="AE18" s="437"/>
      <c r="AF18" s="428" t="s">
        <v>221</v>
      </c>
      <c r="AG18" s="143" t="s">
        <v>222</v>
      </c>
      <c r="AH18" s="144">
        <v>45656</v>
      </c>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row>
    <row r="19" spans="1:66" ht="87" customHeight="1" x14ac:dyDescent="0.3">
      <c r="A19" s="397">
        <v>4</v>
      </c>
      <c r="B19" s="409" t="s">
        <v>233</v>
      </c>
      <c r="C19" s="410" t="s">
        <v>128</v>
      </c>
      <c r="D19" s="410" t="s">
        <v>225</v>
      </c>
      <c r="E19" s="410" t="s">
        <v>224</v>
      </c>
      <c r="F19" s="411" t="s">
        <v>223</v>
      </c>
      <c r="G19" s="410" t="s">
        <v>119</v>
      </c>
      <c r="H19" s="398">
        <v>50</v>
      </c>
      <c r="I19" s="399" t="str">
        <f>IF(H19&lt;=0,"",IF(H19&lt;=2,"Muy Baja",IF(H19&lt;=24,"Baja",IF(H19&lt;=500,"Media",IF(H19&lt;=5000,"Alta","Muy Alta")))))</f>
        <v>Media</v>
      </c>
      <c r="J19" s="400">
        <f>IF(I19="","",IF(I19="Muy Baja",0.2,IF(I19="Baja",0.4,IF(I19="Media",0.6,IF(I19="Alta",0.8,IF(I19="Muy Alta",1,))))))</f>
        <v>0.6</v>
      </c>
      <c r="K19" s="401" t="s">
        <v>143</v>
      </c>
      <c r="L19" s="400" t="str">
        <f>IF(NOT(ISERROR(MATCH(K19,'Tabla Impacto'!$B$221:$B$223,0))),'Tabla Impacto'!$F$223&amp;"Por favor no seleccionar los criterios de impacto(Afectación Económica o presupuestal y Pérdida Reputacional)",K19)</f>
        <v xml:space="preserve">     Entre 50 y 100 SMLMV </v>
      </c>
      <c r="M19" s="399" t="str">
        <f>IF(OR(L19='Tabla Impacto'!$C$11,L19='Tabla Impacto'!$D$11),"Leve",IF(OR(L19='Tabla Impacto'!$C$12,L19='Tabla Impacto'!$D$12),"Menor",IF(OR(L19='Tabla Impacto'!$C$13,L19='Tabla Impacto'!$D$13),"Moderado",IF(OR(L19='Tabla Impacto'!$C$14,L19='Tabla Impacto'!$D$14),"Mayor",IF(OR(L19='Tabla Impacto'!$C$15,L19='Tabla Impacto'!$D$15),"Catastrófico","")))))</f>
        <v>Moderado</v>
      </c>
      <c r="N19" s="400">
        <f>IF(M19="","",IF(M19="Leve",0.2,IF(M19="Menor",0.4,IF(M19="Moderado",0.6,IF(M19="Mayor",0.8,IF(M19="Catastrófico",1,))))))</f>
        <v>0.6</v>
      </c>
      <c r="O19" s="402" t="str">
        <f>IF(OR(AND(I19="Muy Baja",M19="Leve"),AND(I19="Muy Baja",M19="Menor"),AND(I19="Baja",M19="Leve")),"Bajo",IF(OR(AND(I19="Muy baja",M19="Moderado"),AND(I19="Baja",M19="Menor"),AND(I19="Baja",M19="Moderado"),AND(I19="Media",M19="Leve"),AND(I19="Media",M19="Menor"),AND(I19="Media",M19="Moderado"),AND(I19="Alta",M19="Leve"),AND(I19="Alta",M19="Menor")),"Moderado",IF(OR(AND(I19="Muy Baja",M19="Mayor"),AND(I19="Baja",M19="Mayor"),AND(I19="Media",M19="Mayor"),AND(I19="Alta",M19="Moderado"),AND(I19="Alta",M19="Mayor"),AND(I19="Muy Alta",M19="Leve"),AND(I19="Muy Alta",M19="Menor"),AND(I19="Muy Alta",M19="Moderado"),AND(I19="Muy Alta",M19="Mayor")),"Alto",IF(OR(AND(I19="Muy Baja",M19="Catastrófico"),AND(I19="Baja",M19="Catastrófico"),AND(I19="Media",M19="Catastrófico"),AND(I19="Alta",M19="Catastrófico"),AND(I19="Muy Alta",M19="Catastrófico")),"Extremo",""))))</f>
        <v>Moderado</v>
      </c>
      <c r="P19" s="123">
        <v>1</v>
      </c>
      <c r="Q19" s="124" t="s">
        <v>228</v>
      </c>
      <c r="R19" s="386" t="str">
        <f t="shared" si="0"/>
        <v>Probabilidad</v>
      </c>
      <c r="S19" s="126" t="s">
        <v>14</v>
      </c>
      <c r="T19" s="126" t="s">
        <v>9</v>
      </c>
      <c r="U19" s="127" t="str">
        <f>IF(AND(S19="Preventivo",T19="Automático"),"50%",IF(AND(S19="Preventivo",T19="Manual"),"40%",IF(AND(S19="Detectivo",T19="Automático"),"40%",IF(AND(S19="Detectivo",T19="Manual"),"30%",IF(AND(S19="Correctivo",T19="Automático"),"35%",IF(AND(S19="Correctivo",T19="Manual"),"25%",""))))))</f>
        <v>40%</v>
      </c>
      <c r="V19" s="126" t="s">
        <v>19</v>
      </c>
      <c r="W19" s="126" t="s">
        <v>22</v>
      </c>
      <c r="X19" s="126" t="s">
        <v>115</v>
      </c>
      <c r="Y19" s="128">
        <f>IFERROR(IF(R19="Probabilidad",(J19-(+J19*U19)),IF(R19="Impacto",J19,"")),"")</f>
        <v>0.36</v>
      </c>
      <c r="Z19" s="129" t="str">
        <f>IFERROR(IF(Y19="","",IF(Y19&lt;=0.2,"Muy Baja",IF(Y19&lt;=0.4,"Baja",IF(Y19&lt;=0.6,"Media",IF(Y19&lt;=0.8,"Alta","Muy Alta"))))),"")</f>
        <v>Baja</v>
      </c>
      <c r="AA19" s="130">
        <f>+Y19</f>
        <v>0.36</v>
      </c>
      <c r="AB19" s="129" t="str">
        <f>IFERROR(IF(AC19="","",IF(AC19&lt;=0.2,"Leve",IF(AC19&lt;=0.4,"Menor",IF(AC19&lt;=0.6,"Moderado",IF(AC19&lt;=0.8,"Mayor","Catastrófico"))))),"")</f>
        <v>Moderado</v>
      </c>
      <c r="AC19" s="130">
        <f>IFERROR(IF(R19="Impacto",(N19-(+N19*U19)),IF(R19="Probabilidad",N19,"")),"")</f>
        <v>0.6</v>
      </c>
      <c r="AD19" s="131" t="str">
        <f>IFERROR(IF(OR(AND(Z19="Muy Baja",AB19="Leve"),AND(Z19="Muy Baja",AB19="Menor"),AND(Z19="Baja",AB19="Leve")),"Bajo",IF(OR(AND(Z19="Muy baja",AB19="Moderado"),AND(Z19="Baja",AB19="Menor"),AND(Z19="Baja",AB19="Moderado"),AND(Z19="Media",AB19="Leve"),AND(Z19="Media",AB19="Menor"),AND(Z19="Media",AB19="Moderado"),AND(Z19="Alta",AB19="Leve"),AND(Z19="Alta",AB19="Menor")),"Moderado",IF(OR(AND(Z19="Muy Baja",AB19="Mayor"),AND(Z19="Baja",AB19="Mayor"),AND(Z19="Media",AB19="Mayor"),AND(Z19="Alta",AB19="Moderado"),AND(Z19="Alta",AB19="Mayor"),AND(Z19="Muy Alta",AB19="Leve"),AND(Z19="Muy Alta",AB19="Menor"),AND(Z19="Muy Alta",AB19="Moderado"),AND(Z19="Muy Alta",AB19="Mayor")),"Alto",IF(OR(AND(Z19="Muy Baja",AB19="Catastrófico"),AND(Z19="Baja",AB19="Catastrófico"),AND(Z19="Media",AB19="Catastrófico"),AND(Z19="Alta",AB19="Catastrófico"),AND(Z19="Muy Alta",AB19="Catastrófico")),"Extremo","")))),"")</f>
        <v>Moderado</v>
      </c>
      <c r="AE19" s="132" t="s">
        <v>131</v>
      </c>
      <c r="AF19" s="428" t="s">
        <v>226</v>
      </c>
      <c r="AG19" s="143" t="s">
        <v>227</v>
      </c>
      <c r="AH19" s="144">
        <v>45637</v>
      </c>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row>
    <row r="20" spans="1:66" ht="30.75" customHeight="1" x14ac:dyDescent="0.3">
      <c r="A20" s="403"/>
      <c r="B20" s="412"/>
      <c r="C20" s="413"/>
      <c r="D20" s="413"/>
      <c r="E20" s="413"/>
      <c r="F20" s="414"/>
      <c r="G20" s="413"/>
      <c r="H20" s="404"/>
      <c r="I20" s="405"/>
      <c r="J20" s="406"/>
      <c r="K20" s="407"/>
      <c r="L20" s="406">
        <f>IF(NOT(ISERROR(MATCH(K20,_xlfn.ANCHORARRAY(F22),0))),J24&amp;"Por favor no seleccionar los criterios de impacto",K20)</f>
        <v>0</v>
      </c>
      <c r="M20" s="405"/>
      <c r="N20" s="406"/>
      <c r="O20" s="408"/>
      <c r="P20" s="123">
        <v>2</v>
      </c>
      <c r="Q20" s="124"/>
      <c r="R20" s="125" t="str">
        <f t="shared" si="0"/>
        <v/>
      </c>
      <c r="S20" s="126"/>
      <c r="T20" s="126"/>
      <c r="U20" s="127" t="str">
        <f t="shared" ref="U20:U21" si="9">IF(AND(S20="Preventivo",T20="Automático"),"50%",IF(AND(S20="Preventivo",T20="Manual"),"40%",IF(AND(S20="Detectivo",T20="Automático"),"40%",IF(AND(S20="Detectivo",T20="Manual"),"30%",IF(AND(S20="Correctivo",T20="Automático"),"35%",IF(AND(S20="Correctivo",T20="Manual"),"25%",""))))))</f>
        <v/>
      </c>
      <c r="V20" s="126"/>
      <c r="W20" s="126"/>
      <c r="X20" s="126"/>
      <c r="Y20" s="128" t="str">
        <f>IFERROR(IF(AND(R19="Probabilidad",R20="Probabilidad"),(AA19-(+AA19*U20)),IF(R20="Probabilidad",(J19-(+J19*U20)),IF(R20="Impacto",AA19,""))),"")</f>
        <v/>
      </c>
      <c r="Z20" s="129" t="str">
        <f t="shared" si="2"/>
        <v/>
      </c>
      <c r="AA20" s="130" t="str">
        <f t="shared" ref="AA20:AA21" si="10">+Y20</f>
        <v/>
      </c>
      <c r="AB20" s="129" t="str">
        <f t="shared" si="4"/>
        <v/>
      </c>
      <c r="AC20" s="130" t="str">
        <f>IFERROR(IF(AND(R19="Impacto",R20="Impacto"),(AC19-(+AC19*U20)),IF(R20="Impacto",(N19-(+N19*U20)),IF(R20="Probabilidad",AC19,""))),"")</f>
        <v/>
      </c>
      <c r="AD20" s="131" t="str">
        <f t="shared" ref="AD20:AD21" si="11">IFERROR(IF(OR(AND(Z20="Muy Baja",AB20="Leve"),AND(Z20="Muy Baja",AB20="Menor"),AND(Z20="Baja",AB20="Leve")),"Bajo",IF(OR(AND(Z20="Muy baja",AB20="Moderado"),AND(Z20="Baja",AB20="Menor"),AND(Z20="Baja",AB20="Moderado"),AND(Z20="Media",AB20="Leve"),AND(Z20="Media",AB20="Menor"),AND(Z20="Media",AB20="Moderado"),AND(Z20="Alta",AB20="Leve"),AND(Z20="Alta",AB20="Menor")),"Moderado",IF(OR(AND(Z20="Muy Baja",AB20="Mayor"),AND(Z20="Baja",AB20="Mayor"),AND(Z20="Media",AB20="Mayor"),AND(Z20="Alta",AB20="Moderado"),AND(Z20="Alta",AB20="Mayor"),AND(Z20="Muy Alta",AB20="Leve"),AND(Z20="Muy Alta",AB20="Menor"),AND(Z20="Muy Alta",AB20="Moderado"),AND(Z20="Muy Alta",AB20="Mayor")),"Alto",IF(OR(AND(Z20="Muy Baja",AB20="Catastrófico"),AND(Z20="Baja",AB20="Catastrófico"),AND(Z20="Media",AB20="Catastrófico"),AND(Z20="Alta",AB20="Catastrófico"),AND(Z20="Muy Alta",AB20="Catastrófico")),"Extremo","")))),"")</f>
        <v/>
      </c>
      <c r="AE20" s="132"/>
      <c r="AF20" s="133"/>
      <c r="AG20" s="134"/>
      <c r="AH20" s="135"/>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row>
    <row r="21" spans="1:66" ht="23.25" customHeight="1" x14ac:dyDescent="0.3">
      <c r="A21" s="403"/>
      <c r="B21" s="412"/>
      <c r="C21" s="413"/>
      <c r="D21" s="413"/>
      <c r="E21" s="413"/>
      <c r="F21" s="414"/>
      <c r="G21" s="413"/>
      <c r="H21" s="404"/>
      <c r="I21" s="405"/>
      <c r="J21" s="406"/>
      <c r="K21" s="407"/>
      <c r="L21" s="406">
        <f>IF(NOT(ISERROR(MATCH(K21,_xlfn.ANCHORARRAY(F23),0))),#REF!&amp;"Por favor no seleccionar los criterios de impacto",K21)</f>
        <v>0</v>
      </c>
      <c r="M21" s="405"/>
      <c r="N21" s="406"/>
      <c r="O21" s="408"/>
      <c r="P21" s="123">
        <v>3</v>
      </c>
      <c r="Q21" s="136"/>
      <c r="R21" s="125" t="str">
        <f t="shared" si="0"/>
        <v/>
      </c>
      <c r="S21" s="126"/>
      <c r="T21" s="126"/>
      <c r="U21" s="127" t="str">
        <f t="shared" si="9"/>
        <v/>
      </c>
      <c r="V21" s="126"/>
      <c r="W21" s="126"/>
      <c r="X21" s="126"/>
      <c r="Y21" s="128" t="str">
        <f>IFERROR(IF(AND(R20="Probabilidad",R21="Probabilidad"),(AA20-(+AA20*U21)),IF(AND(R20="Impacto",R21="Probabilidad"),(AA19-(+AA19*U21)),IF(R21="Impacto",AA20,""))),"")</f>
        <v/>
      </c>
      <c r="Z21" s="129" t="str">
        <f t="shared" si="2"/>
        <v/>
      </c>
      <c r="AA21" s="130" t="str">
        <f t="shared" si="10"/>
        <v/>
      </c>
      <c r="AB21" s="129" t="str">
        <f t="shared" si="4"/>
        <v/>
      </c>
      <c r="AC21" s="130" t="str">
        <f>IFERROR(IF(AND(R20="Impacto",R21="Impacto"),(AC20-(+AC20*U21)),IF(AND(R20="Probabilidad",R21="Impacto"),(AC19-(+AC19*U21)),IF(R21="Probabilidad",AC20,""))),"")</f>
        <v/>
      </c>
      <c r="AD21" s="131" t="str">
        <f t="shared" si="11"/>
        <v/>
      </c>
      <c r="AE21" s="132"/>
      <c r="AF21" s="133"/>
      <c r="AG21" s="134"/>
      <c r="AH21" s="135"/>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row>
    <row r="22" spans="1:66" ht="67.5" customHeight="1" x14ac:dyDescent="0.3">
      <c r="A22" s="397">
        <v>5</v>
      </c>
      <c r="B22" s="415" t="s">
        <v>233</v>
      </c>
      <c r="C22" s="410" t="s">
        <v>128</v>
      </c>
      <c r="D22" s="410" t="s">
        <v>231</v>
      </c>
      <c r="E22" s="410" t="s">
        <v>232</v>
      </c>
      <c r="F22" s="411" t="s">
        <v>230</v>
      </c>
      <c r="G22" s="410" t="s">
        <v>119</v>
      </c>
      <c r="H22" s="398">
        <v>150</v>
      </c>
      <c r="I22" s="399" t="str">
        <f>IF(H22&lt;=0,"",IF(H22&lt;=2,"Muy Baja",IF(H22&lt;=24,"Baja",IF(H22&lt;=500,"Media",IF(H22&lt;=5000,"Alta","Muy Alta")))))</f>
        <v>Media</v>
      </c>
      <c r="J22" s="400">
        <f>IF(I22="","",IF(I22="Muy Baja",0.2,IF(I22="Baja",0.4,IF(I22="Media",0.6,IF(I22="Alta",0.8,IF(I22="Muy Alta",1,))))))</f>
        <v>0.6</v>
      </c>
      <c r="K22" s="401" t="s">
        <v>144</v>
      </c>
      <c r="L22" s="400" t="str">
        <f>IF(NOT(ISERROR(MATCH(K22,'Tabla Impacto'!$B$221:$B$223,0))),'Tabla Impacto'!$F$223&amp;"Por favor no seleccionar los criterios de impacto(Afectación Económica o presupuestal y Pérdida Reputacional)",K22)</f>
        <v xml:space="preserve">     Entre 10 y 50 SMLMV </v>
      </c>
      <c r="M22" s="399" t="str">
        <f>IF(OR(L22='Tabla Impacto'!$C$11,L22='Tabla Impacto'!$D$11),"Leve",IF(OR(L22='Tabla Impacto'!$C$12,L22='Tabla Impacto'!$D$12),"Menor",IF(OR(L22='Tabla Impacto'!$C$13,L22='Tabla Impacto'!$D$13),"Moderado",IF(OR(L22='Tabla Impacto'!$C$14,L22='Tabla Impacto'!$D$14),"Mayor",IF(OR(L22='Tabla Impacto'!$C$15,L22='Tabla Impacto'!$D$15),"Catastrófico","")))))</f>
        <v>Menor</v>
      </c>
      <c r="N22" s="400">
        <f>IF(M22="","",IF(M22="Leve",0.2,IF(M22="Menor",0.4,IF(M22="Moderado",0.6,IF(M22="Mayor",0.8,IF(M22="Catastrófico",1,))))))</f>
        <v>0.4</v>
      </c>
      <c r="O22" s="402" t="str">
        <f>IF(OR(AND(I22="Muy Baja",M22="Leve"),AND(I22="Muy Baja",M22="Menor"),AND(I22="Baja",M22="Leve")),"Bajo",IF(OR(AND(I22="Muy baja",M22="Moderado"),AND(I22="Baja",M22="Menor"),AND(I22="Baja",M22="Moderado"),AND(I22="Media",M22="Leve"),AND(I22="Media",M22="Menor"),AND(I22="Media",M22="Moderado"),AND(I22="Alta",M22="Leve"),AND(I22="Alta",M22="Menor")),"Moderado",IF(OR(AND(I22="Muy Baja",M22="Mayor"),AND(I22="Baja",M22="Mayor"),AND(I22="Media",M22="Mayor"),AND(I22="Alta",M22="Moderado"),AND(I22="Alta",M22="Mayor"),AND(I22="Muy Alta",M22="Leve"),AND(I22="Muy Alta",M22="Menor"),AND(I22="Muy Alta",M22="Moderado"),AND(I22="Muy Alta",M22="Mayor")),"Alto",IF(OR(AND(I22="Muy Baja",M22="Catastrófico"),AND(I22="Baja",M22="Catastrófico"),AND(I22="Media",M22="Catastrófico"),AND(I22="Alta",M22="Catastrófico"),AND(I22="Muy Alta",M22="Catastrófico")),"Extremo",""))))</f>
        <v>Moderado</v>
      </c>
      <c r="P22" s="6">
        <v>1</v>
      </c>
      <c r="Q22" s="385" t="s">
        <v>237</v>
      </c>
      <c r="R22" s="386" t="str">
        <f t="shared" si="0"/>
        <v>Probabilidad</v>
      </c>
      <c r="S22" s="396" t="s">
        <v>14</v>
      </c>
      <c r="T22" s="396" t="s">
        <v>9</v>
      </c>
      <c r="U22" s="448" t="str">
        <f>IF(AND(S22="Preventivo",T22="Automático"),"50%",IF(AND(S22="Preventivo",T22="Manual"),"40%",IF(AND(S22="Detectivo",T22="Automático"),"40%",IF(AND(S22="Detectivo",T22="Manual"),"30%",IF(AND(S22="Correctivo",T22="Automático"),"35%",IF(AND(S22="Correctivo",T22="Manual"),"25%",""))))))</f>
        <v>40%</v>
      </c>
      <c r="V22" s="396" t="s">
        <v>19</v>
      </c>
      <c r="W22" s="396" t="s">
        <v>22</v>
      </c>
      <c r="X22" s="396" t="s">
        <v>115</v>
      </c>
      <c r="Y22" s="449">
        <f>IFERROR(IF(R22="Probabilidad",(J22-(+J22*U22)),IF(R22="Impacto",J22,"")),"")</f>
        <v>0.36</v>
      </c>
      <c r="Z22" s="390" t="str">
        <f>IFERROR(IF(Y22="","",IF(Y22&lt;=0.2,"Muy Baja",IF(Y22&lt;=0.4,"Baja",IF(Y22&lt;=0.6,"Media",IF(Y22&lt;=0.8,"Alta","Muy Alta"))))),"")</f>
        <v>Baja</v>
      </c>
      <c r="AA22" s="450">
        <f>+Y22</f>
        <v>0.36</v>
      </c>
      <c r="AB22" s="390" t="str">
        <f>IFERROR(IF(AC22="","",IF(AC22&lt;=0.2,"Leve",IF(AC22&lt;=0.4,"Menor",IF(AC22&lt;=0.6,"Moderado",IF(AC22&lt;=0.8,"Mayor","Catastrófico"))))),"")</f>
        <v>Menor</v>
      </c>
      <c r="AC22" s="450">
        <f>IFERROR(IF(R22="Impacto",(N22-(+N22*U22)),IF(R22="Probabilidad",N22,"")),"")</f>
        <v>0.4</v>
      </c>
      <c r="AD22" s="390" t="str">
        <f>IFERROR(IF(OR(AND(Z22="Muy Baja",AB22="Leve"),AND(Z22="Muy Baja",AB22="Menor"),AND(Z22="Baja",AB22="Leve")),"Bajo",IF(OR(AND(Z22="Muy baja",AB22="Moderado"),AND(Z22="Baja",AB22="Menor"),AND(Z22="Baja",AB22="Moderado"),AND(Z22="Media",AB22="Leve"),AND(Z22="Media",AB22="Menor"),AND(Z22="Media",AB22="Moderado"),AND(Z22="Alta",AB22="Leve"),AND(Z22="Alta",AB22="Menor")),"Moderado",IF(OR(AND(Z22="Muy Baja",AB22="Mayor"),AND(Z22="Baja",AB22="Mayor"),AND(Z22="Media",AB22="Mayor"),AND(Z22="Alta",AB22="Moderado"),AND(Z22="Alta",AB22="Mayor"),AND(Z22="Muy Alta",AB22="Leve"),AND(Z22="Muy Alta",AB22="Menor"),AND(Z22="Muy Alta",AB22="Moderado"),AND(Z22="Muy Alta",AB22="Mayor")),"Alto",IF(OR(AND(Z22="Muy Baja",AB22="Catastrófico"),AND(Z22="Baja",AB22="Catastrófico"),AND(Z22="Media",AB22="Catastrófico"),AND(Z22="Alta",AB22="Catastrófico"),AND(Z22="Muy Alta",AB22="Catastrófico")),"Extremo","")))),"")</f>
        <v>Moderado</v>
      </c>
      <c r="AE22" s="395" t="s">
        <v>131</v>
      </c>
      <c r="AF22" s="427" t="s">
        <v>243</v>
      </c>
      <c r="AG22" s="426" t="s">
        <v>255</v>
      </c>
      <c r="AH22" s="144">
        <v>45656</v>
      </c>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row>
    <row r="23" spans="1:66" ht="79.5" customHeight="1" x14ac:dyDescent="0.3">
      <c r="A23" s="403"/>
      <c r="B23" s="412"/>
      <c r="C23" s="413"/>
      <c r="D23" s="413"/>
      <c r="E23" s="413"/>
      <c r="F23" s="414"/>
      <c r="G23" s="413"/>
      <c r="H23" s="404"/>
      <c r="I23" s="405"/>
      <c r="J23" s="406"/>
      <c r="K23" s="407"/>
      <c r="L23" s="406">
        <f>IF(NOT(ISERROR(MATCH(K23,_xlfn.ANCHORARRAY(#REF!),0))),#REF!&amp;"Por favor no seleccionar los criterios de impacto",K23)</f>
        <v>0</v>
      </c>
      <c r="M23" s="405"/>
      <c r="N23" s="406"/>
      <c r="O23" s="408"/>
      <c r="P23" s="6">
        <v>2</v>
      </c>
      <c r="Q23" s="385" t="s">
        <v>242</v>
      </c>
      <c r="R23" s="386" t="str">
        <f t="shared" si="0"/>
        <v>Probabilidad</v>
      </c>
      <c r="S23" s="387" t="s">
        <v>14</v>
      </c>
      <c r="T23" s="387" t="s">
        <v>9</v>
      </c>
      <c r="U23" s="388" t="str">
        <f t="shared" ref="U23:U24" si="12">IF(AND(S23="Preventivo",T23="Automático"),"50%",IF(AND(S23="Preventivo",T23="Manual"),"40%",IF(AND(S23="Detectivo",T23="Automático"),"40%",IF(AND(S23="Detectivo",T23="Manual"),"30%",IF(AND(S23="Correctivo",T23="Automático"),"35%",IF(AND(S23="Correctivo",T23="Manual"),"25%",""))))))</f>
        <v>40%</v>
      </c>
      <c r="V23" s="387" t="s">
        <v>19</v>
      </c>
      <c r="W23" s="387" t="s">
        <v>22</v>
      </c>
      <c r="X23" s="387" t="s">
        <v>115</v>
      </c>
      <c r="Y23" s="389">
        <f>IFERROR(IF(AND(R22="Probabilidad",R23="Probabilidad"),(AA22-(+AA22*U23)),IF(R23="Probabilidad",(J22-(+J22*U23)),IF(R23="Impacto",AA22,""))),"")</f>
        <v>0.216</v>
      </c>
      <c r="Z23" s="390" t="str">
        <f t="shared" si="2"/>
        <v>Baja</v>
      </c>
      <c r="AA23" s="391">
        <f t="shared" ref="AA23:AA24" si="13">+Y23</f>
        <v>0.216</v>
      </c>
      <c r="AB23" s="390" t="str">
        <f t="shared" si="4"/>
        <v>Menor</v>
      </c>
      <c r="AC23" s="391">
        <f>IFERROR(IF(AND(R22="Impacto",R23="Impacto"),(AC22-(+AC22*U23)),IF(R23="Impacto",(N22-(+N22*U23)),IF(R23="Probabilidad",AC22,""))),"")</f>
        <v>0.4</v>
      </c>
      <c r="AD23" s="392" t="str">
        <f t="shared" ref="AD23:AD24" si="14">IFERROR(IF(OR(AND(Z23="Muy Baja",AB23="Leve"),AND(Z23="Muy Baja",AB23="Menor"),AND(Z23="Baja",AB23="Leve")),"Bajo",IF(OR(AND(Z23="Muy baja",AB23="Moderado"),AND(Z23="Baja",AB23="Menor"),AND(Z23="Baja",AB23="Moderado"),AND(Z23="Media",AB23="Leve"),AND(Z23="Media",AB23="Menor"),AND(Z23="Media",AB23="Moderado"),AND(Z23="Alta",AB23="Leve"),AND(Z23="Alta",AB23="Menor")),"Moderado",IF(OR(AND(Z23="Muy Baja",AB23="Mayor"),AND(Z23="Baja",AB23="Mayor"),AND(Z23="Media",AB23="Mayor"),AND(Z23="Alta",AB23="Moderado"),AND(Z23="Alta",AB23="Mayor"),AND(Z23="Muy Alta",AB23="Leve"),AND(Z23="Muy Alta",AB23="Menor"),AND(Z23="Muy Alta",AB23="Moderado"),AND(Z23="Muy Alta",AB23="Mayor")),"Alto",IF(OR(AND(Z23="Muy Baja",AB23="Catastrófico"),AND(Z23="Baja",AB23="Catastrófico"),AND(Z23="Media",AB23="Catastrófico"),AND(Z23="Alta",AB23="Catastrófico"),AND(Z23="Muy Alta",AB23="Catastrófico")),"Extremo","")))),"")</f>
        <v>Moderado</v>
      </c>
      <c r="AE23" s="393" t="s">
        <v>131</v>
      </c>
      <c r="AF23" s="133"/>
      <c r="AG23" s="134"/>
      <c r="AH23" s="135"/>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row>
    <row r="24" spans="1:66" ht="21.75" customHeight="1" x14ac:dyDescent="0.3">
      <c r="A24" s="403"/>
      <c r="B24" s="412"/>
      <c r="C24" s="413"/>
      <c r="D24" s="413"/>
      <c r="E24" s="413"/>
      <c r="F24" s="414"/>
      <c r="G24" s="413"/>
      <c r="H24" s="404"/>
      <c r="I24" s="405"/>
      <c r="J24" s="406"/>
      <c r="K24" s="407"/>
      <c r="L24" s="406">
        <f>IF(NOT(ISERROR(MATCH(K24,_xlfn.ANCHORARRAY(#REF!),0))),#REF!&amp;"Por favor no seleccionar los criterios de impacto",K24)</f>
        <v>0</v>
      </c>
      <c r="M24" s="405"/>
      <c r="N24" s="406"/>
      <c r="O24" s="408"/>
      <c r="P24" s="6">
        <v>3</v>
      </c>
      <c r="Q24" s="447"/>
      <c r="R24" s="125" t="str">
        <f t="shared" si="0"/>
        <v/>
      </c>
      <c r="S24" s="126"/>
      <c r="T24" s="126"/>
      <c r="U24" s="127" t="str">
        <f t="shared" si="12"/>
        <v/>
      </c>
      <c r="V24" s="126"/>
      <c r="W24" s="126"/>
      <c r="X24" s="126"/>
      <c r="Y24" s="128" t="str">
        <f>IFERROR(IF(AND(R23="Probabilidad",R24="Probabilidad"),(AA23-(+AA23*U24)),IF(AND(R23="Impacto",R24="Probabilidad"),(AA22-(+AA22*U24)),IF(R24="Impacto",AA23,""))),"")</f>
        <v/>
      </c>
      <c r="Z24" s="129" t="str">
        <f t="shared" si="2"/>
        <v/>
      </c>
      <c r="AA24" s="130" t="str">
        <f t="shared" si="13"/>
        <v/>
      </c>
      <c r="AB24" s="129" t="str">
        <f t="shared" si="4"/>
        <v/>
      </c>
      <c r="AC24" s="130" t="str">
        <f>IFERROR(IF(AND(R23="Impacto",R24="Impacto"),(AC23-(+AC23*U24)),IF(AND(R23="Probabilidad",R24="Impacto"),(AC22-(+AC22*U24)),IF(R24="Probabilidad",AC23,""))),"")</f>
        <v/>
      </c>
      <c r="AD24" s="131" t="str">
        <f t="shared" si="14"/>
        <v/>
      </c>
      <c r="AE24" s="132"/>
      <c r="AF24" s="133"/>
      <c r="AG24" s="134"/>
      <c r="AH24" s="135"/>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row>
    <row r="25" spans="1:66" ht="101.25" customHeight="1" x14ac:dyDescent="0.3">
      <c r="A25" s="397">
        <v>6</v>
      </c>
      <c r="B25" s="415" t="s">
        <v>229</v>
      </c>
      <c r="C25" s="410" t="s">
        <v>128</v>
      </c>
      <c r="D25" s="410" t="s">
        <v>236</v>
      </c>
      <c r="E25" s="410" t="s">
        <v>234</v>
      </c>
      <c r="F25" s="411" t="s">
        <v>235</v>
      </c>
      <c r="G25" s="410" t="s">
        <v>119</v>
      </c>
      <c r="H25" s="416">
        <v>4000</v>
      </c>
      <c r="I25" s="399" t="str">
        <f>IF(H25&lt;=0,"",IF(H25&lt;=2,"Muy Baja",IF(H25&lt;=24,"Baja",IF(H25&lt;=500,"Media",IF(H25&lt;=5000,"Alta","Muy Alta")))))</f>
        <v>Alta</v>
      </c>
      <c r="J25" s="400">
        <f>IF(I25="","",IF(I25="Muy Baja",0.2,IF(I25="Baja",0.4,IF(I25="Media",0.6,IF(I25="Alta",0.8,IF(I25="Muy Alta",1,))))))</f>
        <v>0.8</v>
      </c>
      <c r="K25" s="401" t="s">
        <v>144</v>
      </c>
      <c r="L25" s="400" t="str">
        <f>IF(NOT(ISERROR(MATCH(K25,'Tabla Impacto'!$B$221:$B$223,0))),'Tabla Impacto'!$F$223&amp;"Por favor no seleccionar los criterios de impacto(Afectación Económica o presupuestal y Pérdida Reputacional)",K25)</f>
        <v xml:space="preserve">     Entre 10 y 50 SMLMV </v>
      </c>
      <c r="M25" s="399" t="str">
        <f>IF(OR(L25='Tabla Impacto'!$C$11,L25='Tabla Impacto'!$D$11),"Leve",IF(OR(L25='Tabla Impacto'!$C$12,L25='Tabla Impacto'!$D$12),"Menor",IF(OR(L25='Tabla Impacto'!$C$13,L25='Tabla Impacto'!$D$13),"Moderado",IF(OR(L25='Tabla Impacto'!$C$14,L25='Tabla Impacto'!$D$14),"Mayor",IF(OR(L25='Tabla Impacto'!$C$15,L25='Tabla Impacto'!$D$15),"Catastrófico","")))))</f>
        <v>Menor</v>
      </c>
      <c r="N25" s="400">
        <f>IF(M25="","",IF(M25="Leve",0.2,IF(M25="Menor",0.4,IF(M25="Moderado",0.6,IF(M25="Mayor",0.8,IF(M25="Catastrófico",1,))))))</f>
        <v>0.4</v>
      </c>
      <c r="O25" s="402" t="str">
        <f>IF(OR(AND(I25="Muy Baja",M25="Leve"),AND(I25="Muy Baja",M25="Menor"),AND(I25="Baja",M25="Leve")),"Bajo",IF(OR(AND(I25="Muy baja",M25="Moderado"),AND(I25="Baja",M25="Menor"),AND(I25="Baja",M25="Moderado"),AND(I25="Media",M25="Leve"),AND(I25="Media",M25="Menor"),AND(I25="Media",M25="Moderado"),AND(I25="Alta",M25="Leve"),AND(I25="Alta",M25="Menor")),"Moderado",IF(OR(AND(I25="Muy Baja",M25="Mayor"),AND(I25="Baja",M25="Mayor"),AND(I25="Media",M25="Mayor"),AND(I25="Alta",M25="Moderado"),AND(I25="Alta",M25="Mayor"),AND(I25="Muy Alta",M25="Leve"),AND(I25="Muy Alta",M25="Menor"),AND(I25="Muy Alta",M25="Moderado"),AND(I25="Muy Alta",M25="Mayor")),"Alto",IF(OR(AND(I25="Muy Baja",M25="Catastrófico"),AND(I25="Baja",M25="Catastrófico"),AND(I25="Media",M25="Catastrófico"),AND(I25="Alta",M25="Catastrófico"),AND(I25="Muy Alta",M25="Catastrófico")),"Extremo",""))))</f>
        <v>Moderado</v>
      </c>
      <c r="P25" s="6">
        <v>1</v>
      </c>
      <c r="Q25" s="385" t="s">
        <v>244</v>
      </c>
      <c r="R25" s="386" t="str">
        <f t="shared" si="0"/>
        <v>Probabilidad</v>
      </c>
      <c r="S25" s="387" t="s">
        <v>15</v>
      </c>
      <c r="T25" s="387" t="s">
        <v>9</v>
      </c>
      <c r="U25" s="388" t="str">
        <f>IF(AND(S25="Preventivo",T25="Automático"),"50%",IF(AND(S25="Preventivo",T25="Manual"),"40%",IF(AND(S25="Detectivo",T25="Automático"),"40%",IF(AND(S25="Detectivo",T25="Manual"),"30%",IF(AND(S25="Correctivo",T25="Automático"),"35%",IF(AND(S25="Correctivo",T25="Manual"),"25%",""))))))</f>
        <v>30%</v>
      </c>
      <c r="V25" s="387" t="s">
        <v>19</v>
      </c>
      <c r="W25" s="387" t="s">
        <v>22</v>
      </c>
      <c r="X25" s="387" t="s">
        <v>115</v>
      </c>
      <c r="Y25" s="389">
        <f>IFERROR(IF(R25="Probabilidad",(J25-(+J25*U25)),IF(R25="Impacto",J25,"")),"")</f>
        <v>0.56000000000000005</v>
      </c>
      <c r="Z25" s="390" t="str">
        <f>IFERROR(IF(Y25="","",IF(Y25&lt;=0.2,"Muy Baja",IF(Y25&lt;=0.4,"Baja",IF(Y25&lt;=0.6,"Media",IF(Y25&lt;=0.8,"Alta","Muy Alta"))))),"")</f>
        <v>Media</v>
      </c>
      <c r="AA25" s="391">
        <f>+Y25</f>
        <v>0.56000000000000005</v>
      </c>
      <c r="AB25" s="390" t="str">
        <f>IFERROR(IF(AC25="","",IF(AC25&lt;=0.2,"Leve",IF(AC25&lt;=0.4,"Menor",IF(AC25&lt;=0.6,"Moderado",IF(AC25&lt;=0.8,"Mayor","Catastrófico"))))),"")</f>
        <v>Menor</v>
      </c>
      <c r="AC25" s="391">
        <f>IFERROR(IF(R25="Impacto",(N25-(+N25*U25)),IF(R25="Probabilidad",N25,"")),"")</f>
        <v>0.4</v>
      </c>
      <c r="AD25" s="392" t="str">
        <f>IFERROR(IF(OR(AND(Z25="Muy Baja",AB25="Leve"),AND(Z25="Muy Baja",AB25="Menor"),AND(Z25="Baja",AB25="Leve")),"Bajo",IF(OR(AND(Z25="Muy baja",AB25="Moderado"),AND(Z25="Baja",AB25="Menor"),AND(Z25="Baja",AB25="Moderado"),AND(Z25="Media",AB25="Leve"),AND(Z25="Media",AB25="Menor"),AND(Z25="Media",AB25="Moderado"),AND(Z25="Alta",AB25="Leve"),AND(Z25="Alta",AB25="Menor")),"Moderado",IF(OR(AND(Z25="Muy Baja",AB25="Mayor"),AND(Z25="Baja",AB25="Mayor"),AND(Z25="Media",AB25="Mayor"),AND(Z25="Alta",AB25="Moderado"),AND(Z25="Alta",AB25="Mayor"),AND(Z25="Muy Alta",AB25="Leve"),AND(Z25="Muy Alta",AB25="Menor"),AND(Z25="Muy Alta",AB25="Moderado"),AND(Z25="Muy Alta",AB25="Mayor")),"Alto",IF(OR(AND(Z25="Muy Baja",AB25="Catastrófico"),AND(Z25="Baja",AB25="Catastrófico"),AND(Z25="Media",AB25="Catastrófico"),AND(Z25="Alta",AB25="Catastrófico"),AND(Z25="Muy Alta",AB25="Catastrófico")),"Extremo","")))),"")</f>
        <v>Moderado</v>
      </c>
      <c r="AE25" s="132"/>
      <c r="AF25" s="427" t="s">
        <v>246</v>
      </c>
      <c r="AG25" s="427" t="s">
        <v>256</v>
      </c>
      <c r="AH25" s="144">
        <v>45656</v>
      </c>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row>
    <row r="26" spans="1:66" ht="50.25" customHeight="1" x14ac:dyDescent="0.3">
      <c r="A26" s="403"/>
      <c r="B26" s="412"/>
      <c r="C26" s="413"/>
      <c r="D26" s="413"/>
      <c r="E26" s="413"/>
      <c r="F26" s="414"/>
      <c r="G26" s="413"/>
      <c r="H26" s="421"/>
      <c r="I26" s="405"/>
      <c r="J26" s="406"/>
      <c r="K26" s="407"/>
      <c r="L26" s="406">
        <f>IF(NOT(ISERROR(MATCH(K26,_xlfn.ANCHORARRAY(F31),0))),J33&amp;"Por favor no seleccionar los criterios de impacto",K26)</f>
        <v>0</v>
      </c>
      <c r="M26" s="405"/>
      <c r="N26" s="406"/>
      <c r="O26" s="408"/>
      <c r="P26" s="6">
        <v>2</v>
      </c>
      <c r="Q26" s="385" t="s">
        <v>245</v>
      </c>
      <c r="R26" s="386" t="str">
        <f t="shared" si="0"/>
        <v>Impacto</v>
      </c>
      <c r="S26" s="387" t="s">
        <v>16</v>
      </c>
      <c r="T26" s="387" t="s">
        <v>9</v>
      </c>
      <c r="U26" s="388" t="str">
        <f t="shared" ref="U26:U27" si="15">IF(AND(S26="Preventivo",T26="Automático"),"50%",IF(AND(S26="Preventivo",T26="Manual"),"40%",IF(AND(S26="Detectivo",T26="Automático"),"40%",IF(AND(S26="Detectivo",T26="Manual"),"30%",IF(AND(S26="Correctivo",T26="Automático"),"35%",IF(AND(S26="Correctivo",T26="Manual"),"25%",""))))))</f>
        <v>25%</v>
      </c>
      <c r="V26" s="387" t="s">
        <v>19</v>
      </c>
      <c r="W26" s="387" t="s">
        <v>22</v>
      </c>
      <c r="X26" s="387" t="s">
        <v>115</v>
      </c>
      <c r="Y26" s="389">
        <f>IFERROR(IF(AND(R25="Probabilidad",R26="Probabilidad"),(AA25-(+AA25*U26)),IF(R26="Probabilidad",(J25-(+J25*U26)),IF(R26="Impacto",AA25,""))),"")</f>
        <v>0.56000000000000005</v>
      </c>
      <c r="Z26" s="390" t="str">
        <f t="shared" si="2"/>
        <v>Media</v>
      </c>
      <c r="AA26" s="391">
        <f t="shared" ref="AA26:AA27" si="16">+Y26</f>
        <v>0.56000000000000005</v>
      </c>
      <c r="AB26" s="390" t="str">
        <f t="shared" si="4"/>
        <v>Menor</v>
      </c>
      <c r="AC26" s="391">
        <f>IFERROR(IF(AND(R25="Impacto",R26="Impacto"),(AC25-(+AC25*U26)),IF(R26="Impacto",(N25-(+N25*U26)),IF(R26="Probabilidad",AC25,""))),"")</f>
        <v>0.30000000000000004</v>
      </c>
      <c r="AD26" s="392" t="str">
        <f t="shared" ref="AD26:AD27" si="17">IFERROR(IF(OR(AND(Z26="Muy Baja",AB26="Leve"),AND(Z26="Muy Baja",AB26="Menor"),AND(Z26="Baja",AB26="Leve")),"Bajo",IF(OR(AND(Z26="Muy baja",AB26="Moderado"),AND(Z26="Baja",AB26="Menor"),AND(Z26="Baja",AB26="Moderado"),AND(Z26="Media",AB26="Leve"),AND(Z26="Media",AB26="Menor"),AND(Z26="Media",AB26="Moderado"),AND(Z26="Alta",AB26="Leve"),AND(Z26="Alta",AB26="Menor")),"Moderado",IF(OR(AND(Z26="Muy Baja",AB26="Mayor"),AND(Z26="Baja",AB26="Mayor"),AND(Z26="Media",AB26="Mayor"),AND(Z26="Alta",AB26="Moderado"),AND(Z26="Alta",AB26="Mayor"),AND(Z26="Muy Alta",AB26="Leve"),AND(Z26="Muy Alta",AB26="Menor"),AND(Z26="Muy Alta",AB26="Moderado"),AND(Z26="Muy Alta",AB26="Mayor")),"Alto",IF(OR(AND(Z26="Muy Baja",AB26="Catastrófico"),AND(Z26="Baja",AB26="Catastrófico"),AND(Z26="Media",AB26="Catastrófico"),AND(Z26="Alta",AB26="Catastrófico"),AND(Z26="Muy Alta",AB26="Catastrófico")),"Extremo","")))),"")</f>
        <v>Moderado</v>
      </c>
      <c r="AE26" s="132"/>
      <c r="AF26" s="133"/>
      <c r="AG26" s="134"/>
      <c r="AH26" s="135"/>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row>
    <row r="27" spans="1:66" ht="43.5" customHeight="1" x14ac:dyDescent="0.3">
      <c r="A27" s="403"/>
      <c r="B27" s="412"/>
      <c r="C27" s="413"/>
      <c r="D27" s="413"/>
      <c r="E27" s="413"/>
      <c r="F27" s="414"/>
      <c r="G27" s="413"/>
      <c r="H27" s="421"/>
      <c r="I27" s="405"/>
      <c r="J27" s="406"/>
      <c r="K27" s="407"/>
      <c r="L27" s="406">
        <f>IF(NOT(ISERROR(MATCH(K27,_xlfn.ANCHORARRAY(F32),0))),J34&amp;"Por favor no seleccionar los criterios de impacto",K27)</f>
        <v>0</v>
      </c>
      <c r="M27" s="405"/>
      <c r="N27" s="406"/>
      <c r="O27" s="408"/>
      <c r="P27" s="6">
        <v>3</v>
      </c>
      <c r="Q27" s="136"/>
      <c r="R27" s="125" t="str">
        <f t="shared" si="0"/>
        <v/>
      </c>
      <c r="S27" s="126"/>
      <c r="T27" s="126"/>
      <c r="U27" s="127" t="str">
        <f t="shared" si="15"/>
        <v/>
      </c>
      <c r="V27" s="126"/>
      <c r="W27" s="126"/>
      <c r="X27" s="126"/>
      <c r="Y27" s="128" t="str">
        <f>IFERROR(IF(AND(R26="Probabilidad",R27="Probabilidad"),(AA26-(+AA26*U27)),IF(AND(R26="Impacto",R27="Probabilidad"),(AA25-(+AA25*U27)),IF(R27="Impacto",AA26,""))),"")</f>
        <v/>
      </c>
      <c r="Z27" s="129" t="str">
        <f t="shared" si="2"/>
        <v/>
      </c>
      <c r="AA27" s="130" t="str">
        <f t="shared" si="16"/>
        <v/>
      </c>
      <c r="AB27" s="129" t="str">
        <f t="shared" si="4"/>
        <v/>
      </c>
      <c r="AC27" s="130" t="str">
        <f>IFERROR(IF(AND(R26="Impacto",R27="Impacto"),(AC26-(+AC26*U27)),IF(AND(R26="Probabilidad",R27="Impacto"),(AC25-(+AC25*U27)),IF(R27="Probabilidad",AC26,""))),"")</f>
        <v/>
      </c>
      <c r="AD27" s="131" t="str">
        <f t="shared" si="17"/>
        <v/>
      </c>
      <c r="AE27" s="132"/>
      <c r="AF27" s="133"/>
      <c r="AG27" s="134"/>
      <c r="AH27" s="135"/>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row>
    <row r="28" spans="1:66" ht="24.75" customHeight="1" x14ac:dyDescent="0.3">
      <c r="A28" s="200">
        <v>7</v>
      </c>
      <c r="B28" s="200"/>
      <c r="C28" s="202"/>
      <c r="D28" s="202"/>
      <c r="E28" s="202"/>
      <c r="F28" s="204"/>
      <c r="G28" s="202"/>
      <c r="H28" s="206"/>
      <c r="I28" s="208" t="str">
        <f>IF(H28&lt;=0,"",IF(H28&lt;=2,"Muy Baja",IF(H28&lt;=24,"Baja",IF(H28&lt;=500,"Media",IF(H28&lt;=5000,"Alta","Muy Alta")))))</f>
        <v/>
      </c>
      <c r="J28" s="196" t="str">
        <f>IF(I28="","",IF(I28="Muy Baja",0.2,IF(I28="Baja",0.4,IF(I28="Media",0.6,IF(I28="Alta",0.8,IF(I28="Muy Alta",1,))))))</f>
        <v/>
      </c>
      <c r="K28" s="210"/>
      <c r="L28" s="196">
        <f>IF(NOT(ISERROR(MATCH(K28,'Tabla Impacto'!$B$221:$B$223,0))),'Tabla Impacto'!$F$223&amp;"Por favor no seleccionar los criterios de impacto(Afectación Económica o presupuestal y Pérdida Reputacional)",K28)</f>
        <v>0</v>
      </c>
      <c r="M28" s="208" t="str">
        <f>IF(OR(L28='Tabla Impacto'!$C$11,L28='Tabla Impacto'!$D$11),"Leve",IF(OR(L28='Tabla Impacto'!$C$12,L28='Tabla Impacto'!$D$12),"Menor",IF(OR(L28='Tabla Impacto'!$C$13,L28='Tabla Impacto'!$D$13),"Moderado",IF(OR(L28='Tabla Impacto'!$C$14,L28='Tabla Impacto'!$D$14),"Mayor",IF(OR(L28='Tabla Impacto'!$C$15,L28='Tabla Impacto'!$D$15),"Catastrófico","")))))</f>
        <v/>
      </c>
      <c r="N28" s="196" t="str">
        <f>IF(M28="","",IF(M28="Leve",0.2,IF(M28="Menor",0.4,IF(M28="Moderado",0.6,IF(M28="Mayor",0.8,IF(M28="Catastrófico",1,))))))</f>
        <v/>
      </c>
      <c r="O28" s="198" t="str">
        <f>IF(OR(AND(I28="Muy Baja",M28="Leve"),AND(I28="Muy Baja",M28="Menor"),AND(I28="Baja",M28="Leve")),"Bajo",IF(OR(AND(I28="Muy baja",M28="Moderado"),AND(I28="Baja",M28="Menor"),AND(I28="Baja",M28="Moderado"),AND(I28="Media",M28="Leve"),AND(I28="Media",M28="Menor"),AND(I28="Media",M28="Moderado"),AND(I28="Alta",M28="Leve"),AND(I28="Alta",M28="Menor")),"Moderado",IF(OR(AND(I28="Muy Baja",M28="Mayor"),AND(I28="Baja",M28="Mayor"),AND(I28="Media",M28="Mayor"),AND(I28="Alta",M28="Moderado"),AND(I28="Alta",M28="Mayor"),AND(I28="Muy Alta",M28="Leve"),AND(I28="Muy Alta",M28="Menor"),AND(I28="Muy Alta",M28="Moderado"),AND(I28="Muy Alta",M28="Mayor")),"Alto",IF(OR(AND(I28="Muy Baja",M28="Catastrófico"),AND(I28="Baja",M28="Catastrófico"),AND(I28="Media",M28="Catastrófico"),AND(I28="Alta",M28="Catastrófico"),AND(I28="Muy Alta",M28="Catastrófico")),"Extremo",""))))</f>
        <v/>
      </c>
      <c r="P28" s="6">
        <v>1</v>
      </c>
      <c r="Q28" s="124"/>
      <c r="R28" s="125" t="str">
        <f t="shared" si="0"/>
        <v/>
      </c>
      <c r="S28" s="126"/>
      <c r="T28" s="126"/>
      <c r="U28" s="127" t="str">
        <f>IF(AND(S28="Preventivo",T28="Automático"),"50%",IF(AND(S28="Preventivo",T28="Manual"),"40%",IF(AND(S28="Detectivo",T28="Automático"),"40%",IF(AND(S28="Detectivo",T28="Manual"),"30%",IF(AND(S28="Correctivo",T28="Automático"),"35%",IF(AND(S28="Correctivo",T28="Manual"),"25%",""))))))</f>
        <v/>
      </c>
      <c r="V28" s="126"/>
      <c r="W28" s="126"/>
      <c r="X28" s="126"/>
      <c r="Y28" s="128" t="str">
        <f>IFERROR(IF(R28="Probabilidad",(J28-(+J28*U28)),IF(R28="Impacto",J28,"")),"")</f>
        <v/>
      </c>
      <c r="Z28" s="129" t="str">
        <f>IFERROR(IF(Y28="","",IF(Y28&lt;=0.2,"Muy Baja",IF(Y28&lt;=0.4,"Baja",IF(Y28&lt;=0.6,"Media",IF(Y28&lt;=0.8,"Alta","Muy Alta"))))),"")</f>
        <v/>
      </c>
      <c r="AA28" s="130" t="str">
        <f>+Y28</f>
        <v/>
      </c>
      <c r="AB28" s="129" t="str">
        <f>IFERROR(IF(AC28="","",IF(AC28&lt;=0.2,"Leve",IF(AC28&lt;=0.4,"Menor",IF(AC28&lt;=0.6,"Moderado",IF(AC28&lt;=0.8,"Mayor","Catastrófico"))))),"")</f>
        <v/>
      </c>
      <c r="AC28" s="130" t="str">
        <f>IFERROR(IF(R28="Impacto",(N28-(+N28*U28)),IF(R28="Probabilidad",N28,"")),"")</f>
        <v/>
      </c>
      <c r="AD28" s="131" t="str">
        <f>IFERROR(IF(OR(AND(Z28="Muy Baja",AB28="Leve"),AND(Z28="Muy Baja",AB28="Menor"),AND(Z28="Baja",AB28="Leve")),"Bajo",IF(OR(AND(Z28="Muy baja",AB28="Moderado"),AND(Z28="Baja",AB28="Menor"),AND(Z28="Baja",AB28="Moderado"),AND(Z28="Media",AB28="Leve"),AND(Z28="Media",AB28="Menor"),AND(Z28="Media",AB28="Moderado"),AND(Z28="Alta",AB28="Leve"),AND(Z28="Alta",AB28="Menor")),"Moderado",IF(OR(AND(Z28="Muy Baja",AB28="Mayor"),AND(Z28="Baja",AB28="Mayor"),AND(Z28="Media",AB28="Mayor"),AND(Z28="Alta",AB28="Moderado"),AND(Z28="Alta",AB28="Mayor"),AND(Z28="Muy Alta",AB28="Leve"),AND(Z28="Muy Alta",AB28="Menor"),AND(Z28="Muy Alta",AB28="Moderado"),AND(Z28="Muy Alta",AB28="Mayor")),"Alto",IF(OR(AND(Z28="Muy Baja",AB28="Catastrófico"),AND(Z28="Baja",AB28="Catastrófico"),AND(Z28="Media",AB28="Catastrófico"),AND(Z28="Alta",AB28="Catastrófico"),AND(Z28="Muy Alta",AB28="Catastrófico")),"Extremo","")))),"")</f>
        <v/>
      </c>
      <c r="AE28" s="132"/>
      <c r="AF28" s="133"/>
      <c r="AG28" s="134"/>
      <c r="AH28" s="135"/>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row>
    <row r="29" spans="1:66" ht="21" customHeight="1" x14ac:dyDescent="0.3">
      <c r="A29" s="201"/>
      <c r="B29" s="201"/>
      <c r="C29" s="203"/>
      <c r="D29" s="203"/>
      <c r="E29" s="203"/>
      <c r="F29" s="205"/>
      <c r="G29" s="203"/>
      <c r="H29" s="207"/>
      <c r="I29" s="209"/>
      <c r="J29" s="197"/>
      <c r="K29" s="211"/>
      <c r="L29" s="197">
        <f>IF(NOT(ISERROR(MATCH(K29,_xlfn.ANCHORARRAY(F37),0))),J39&amp;"Por favor no seleccionar los criterios de impacto",K29)</f>
        <v>0</v>
      </c>
      <c r="M29" s="209"/>
      <c r="N29" s="197"/>
      <c r="O29" s="199"/>
      <c r="P29" s="6">
        <v>2</v>
      </c>
      <c r="Q29" s="124"/>
      <c r="R29" s="125" t="str">
        <f t="shared" si="0"/>
        <v/>
      </c>
      <c r="S29" s="126"/>
      <c r="T29" s="126"/>
      <c r="U29" s="127" t="str">
        <f t="shared" ref="U29:U30" si="18">IF(AND(S29="Preventivo",T29="Automático"),"50%",IF(AND(S29="Preventivo",T29="Manual"),"40%",IF(AND(S29="Detectivo",T29="Automático"),"40%",IF(AND(S29="Detectivo",T29="Manual"),"30%",IF(AND(S29="Correctivo",T29="Automático"),"35%",IF(AND(S29="Correctivo",T29="Manual"),"25%",""))))))</f>
        <v/>
      </c>
      <c r="V29" s="126"/>
      <c r="W29" s="126"/>
      <c r="X29" s="126"/>
      <c r="Y29" s="128" t="str">
        <f>IFERROR(IF(AND(R28="Probabilidad",R29="Probabilidad"),(AA28-(+AA28*U29)),IF(R29="Probabilidad",(J28-(+J28*U29)),IF(R29="Impacto",AA28,""))),"")</f>
        <v/>
      </c>
      <c r="Z29" s="129" t="str">
        <f t="shared" si="2"/>
        <v/>
      </c>
      <c r="AA29" s="130" t="str">
        <f t="shared" ref="AA29:AA30" si="19">+Y29</f>
        <v/>
      </c>
      <c r="AB29" s="129" t="str">
        <f t="shared" si="4"/>
        <v/>
      </c>
      <c r="AC29" s="130" t="str">
        <f>IFERROR(IF(AND(R28="Impacto",R29="Impacto"),(AC28-(+AC28*U29)),IF(R29="Impacto",(N28-(+N28*U29)),IF(R29="Probabilidad",AC28,""))),"")</f>
        <v/>
      </c>
      <c r="AD29" s="131" t="str">
        <f t="shared" ref="AD29:AD30" si="20">IFERROR(IF(OR(AND(Z29="Muy Baja",AB29="Leve"),AND(Z29="Muy Baja",AB29="Menor"),AND(Z29="Baja",AB29="Leve")),"Bajo",IF(OR(AND(Z29="Muy baja",AB29="Moderado"),AND(Z29="Baja",AB29="Menor"),AND(Z29="Baja",AB29="Moderado"),AND(Z29="Media",AB29="Leve"),AND(Z29="Media",AB29="Menor"),AND(Z29="Media",AB29="Moderado"),AND(Z29="Alta",AB29="Leve"),AND(Z29="Alta",AB29="Menor")),"Moderado",IF(OR(AND(Z29="Muy Baja",AB29="Mayor"),AND(Z29="Baja",AB29="Mayor"),AND(Z29="Media",AB29="Mayor"),AND(Z29="Alta",AB29="Moderado"),AND(Z29="Alta",AB29="Mayor"),AND(Z29="Muy Alta",AB29="Leve"),AND(Z29="Muy Alta",AB29="Menor"),AND(Z29="Muy Alta",AB29="Moderado"),AND(Z29="Muy Alta",AB29="Mayor")),"Alto",IF(OR(AND(Z29="Muy Baja",AB29="Catastrófico"),AND(Z29="Baja",AB29="Catastrófico"),AND(Z29="Media",AB29="Catastrófico"),AND(Z29="Alta",AB29="Catastrófico"),AND(Z29="Muy Alta",AB29="Catastrófico")),"Extremo","")))),"")</f>
        <v/>
      </c>
      <c r="AE29" s="132"/>
      <c r="AF29" s="133"/>
      <c r="AG29" s="134"/>
      <c r="AH29" s="135"/>
    </row>
    <row r="30" spans="1:66" ht="21" customHeight="1" x14ac:dyDescent="0.3">
      <c r="A30" s="201"/>
      <c r="B30" s="201"/>
      <c r="C30" s="203"/>
      <c r="D30" s="203"/>
      <c r="E30" s="203"/>
      <c r="F30" s="205"/>
      <c r="G30" s="203"/>
      <c r="H30" s="207"/>
      <c r="I30" s="209"/>
      <c r="J30" s="197"/>
      <c r="K30" s="211"/>
      <c r="L30" s="197">
        <f>IF(NOT(ISERROR(MATCH(K30,_xlfn.ANCHORARRAY(F38),0))),J40&amp;"Por favor no seleccionar los criterios de impacto",K30)</f>
        <v>0</v>
      </c>
      <c r="M30" s="209"/>
      <c r="N30" s="197"/>
      <c r="O30" s="199"/>
      <c r="P30" s="6">
        <v>3</v>
      </c>
      <c r="Q30" s="136"/>
      <c r="R30" s="125" t="str">
        <f t="shared" si="0"/>
        <v/>
      </c>
      <c r="S30" s="126"/>
      <c r="T30" s="126"/>
      <c r="U30" s="127" t="str">
        <f t="shared" si="18"/>
        <v/>
      </c>
      <c r="V30" s="126"/>
      <c r="W30" s="126"/>
      <c r="X30" s="126"/>
      <c r="Y30" s="128" t="str">
        <f>IFERROR(IF(AND(R29="Probabilidad",R30="Probabilidad"),(AA29-(+AA29*U30)),IF(AND(R29="Impacto",R30="Probabilidad"),(AA28-(+AA28*U30)),IF(R30="Impacto",AA29,""))),"")</f>
        <v/>
      </c>
      <c r="Z30" s="129" t="str">
        <f t="shared" si="2"/>
        <v/>
      </c>
      <c r="AA30" s="130" t="str">
        <f t="shared" si="19"/>
        <v/>
      </c>
      <c r="AB30" s="129" t="str">
        <f t="shared" si="4"/>
        <v/>
      </c>
      <c r="AC30" s="130" t="str">
        <f>IFERROR(IF(AND(R29="Impacto",R30="Impacto"),(AC29-(+AC29*U30)),IF(AND(R29="Probabilidad",R30="Impacto"),(AC28-(+AC28*U30)),IF(R30="Probabilidad",AC29,""))),"")</f>
        <v/>
      </c>
      <c r="AD30" s="131" t="str">
        <f t="shared" si="20"/>
        <v/>
      </c>
      <c r="AE30" s="132"/>
      <c r="AF30" s="133"/>
      <c r="AG30" s="134"/>
      <c r="AH30" s="135"/>
    </row>
    <row r="31" spans="1:66" ht="49.5" customHeight="1" x14ac:dyDescent="0.3">
      <c r="A31" s="6"/>
      <c r="B31" s="141"/>
      <c r="C31" s="194" t="s">
        <v>126</v>
      </c>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row>
    <row r="33" spans="3:3" s="1" customFormat="1" x14ac:dyDescent="0.3">
      <c r="C33" s="24" t="s">
        <v>138</v>
      </c>
    </row>
  </sheetData>
  <dataConsolidate/>
  <mergeCells count="159">
    <mergeCell ref="AA16:AA18"/>
    <mergeCell ref="AB16:AB18"/>
    <mergeCell ref="AC16:AC18"/>
    <mergeCell ref="AD16:AD18"/>
    <mergeCell ref="AE16:AE18"/>
    <mergeCell ref="Q16:Q18"/>
    <mergeCell ref="R16:R18"/>
    <mergeCell ref="S16:S18"/>
    <mergeCell ref="T16:T18"/>
    <mergeCell ref="U16:U18"/>
    <mergeCell ref="V16:V18"/>
    <mergeCell ref="W16:W18"/>
    <mergeCell ref="X16:X18"/>
    <mergeCell ref="Z16:Z18"/>
    <mergeCell ref="B13:B15"/>
    <mergeCell ref="B16:B18"/>
    <mergeCell ref="B19:B21"/>
    <mergeCell ref="B22:B24"/>
    <mergeCell ref="B25:B27"/>
    <mergeCell ref="B28:B30"/>
    <mergeCell ref="G10:G12"/>
    <mergeCell ref="H10:H12"/>
    <mergeCell ref="I10:I12"/>
    <mergeCell ref="E13:E15"/>
    <mergeCell ref="F13:F15"/>
    <mergeCell ref="A10:A12"/>
    <mergeCell ref="C10:C12"/>
    <mergeCell ref="D10:D12"/>
    <mergeCell ref="E10:E12"/>
    <mergeCell ref="F10:F12"/>
    <mergeCell ref="O10:O12"/>
    <mergeCell ref="J10:J12"/>
    <mergeCell ref="K10:K12"/>
    <mergeCell ref="L10:L12"/>
    <mergeCell ref="M10:M12"/>
    <mergeCell ref="N10:N12"/>
    <mergeCell ref="B10:B12"/>
    <mergeCell ref="J8:J9"/>
    <mergeCell ref="M8:M9"/>
    <mergeCell ref="N8:N9"/>
    <mergeCell ref="C8:C9"/>
    <mergeCell ref="O8:O9"/>
    <mergeCell ref="K8:K9"/>
    <mergeCell ref="L8:L9"/>
    <mergeCell ref="R8:R9"/>
    <mergeCell ref="S8:X8"/>
    <mergeCell ref="AF8:AF9"/>
    <mergeCell ref="AH8:AH9"/>
    <mergeCell ref="AG8:AG9"/>
    <mergeCell ref="A4:C4"/>
    <mergeCell ref="A5:C5"/>
    <mergeCell ref="A8:A9"/>
    <mergeCell ref="G8:G9"/>
    <mergeCell ref="F8:F9"/>
    <mergeCell ref="E8:E9"/>
    <mergeCell ref="D8:D9"/>
    <mergeCell ref="AE8:AE9"/>
    <mergeCell ref="D5:O5"/>
    <mergeCell ref="P8:P9"/>
    <mergeCell ref="AD8:AD9"/>
    <mergeCell ref="AC8:AC9"/>
    <mergeCell ref="Y8:Y9"/>
    <mergeCell ref="Q8:Q9"/>
    <mergeCell ref="D4:O4"/>
    <mergeCell ref="P4:R4"/>
    <mergeCell ref="AB8:AB9"/>
    <mergeCell ref="Z8:Z9"/>
    <mergeCell ref="AA8:AA9"/>
    <mergeCell ref="H8:H9"/>
    <mergeCell ref="I8:I9"/>
    <mergeCell ref="L13:L15"/>
    <mergeCell ref="M13:M15"/>
    <mergeCell ref="N13:N15"/>
    <mergeCell ref="O13:O15"/>
    <mergeCell ref="A16:A18"/>
    <mergeCell ref="C16:C18"/>
    <mergeCell ref="D16:D18"/>
    <mergeCell ref="E16:E18"/>
    <mergeCell ref="F16:F18"/>
    <mergeCell ref="G16:G18"/>
    <mergeCell ref="H16:H18"/>
    <mergeCell ref="I16:I18"/>
    <mergeCell ref="J16:J18"/>
    <mergeCell ref="K16:K18"/>
    <mergeCell ref="L16:L18"/>
    <mergeCell ref="M16:M18"/>
    <mergeCell ref="G13:G15"/>
    <mergeCell ref="H13:H15"/>
    <mergeCell ref="I13:I15"/>
    <mergeCell ref="J13:J15"/>
    <mergeCell ref="K13:K15"/>
    <mergeCell ref="A13:A15"/>
    <mergeCell ref="C13:C15"/>
    <mergeCell ref="D13:D15"/>
    <mergeCell ref="J22:J24"/>
    <mergeCell ref="N16:N18"/>
    <mergeCell ref="O16:O18"/>
    <mergeCell ref="A19:A21"/>
    <mergeCell ref="C19:C21"/>
    <mergeCell ref="D19:D21"/>
    <mergeCell ref="E19:E21"/>
    <mergeCell ref="F19:F21"/>
    <mergeCell ref="G19:G21"/>
    <mergeCell ref="H19:H21"/>
    <mergeCell ref="I19:I21"/>
    <mergeCell ref="J19:J21"/>
    <mergeCell ref="K19:K21"/>
    <mergeCell ref="L19:L21"/>
    <mergeCell ref="M19:M21"/>
    <mergeCell ref="N19:N21"/>
    <mergeCell ref="O19:O21"/>
    <mergeCell ref="D22:D24"/>
    <mergeCell ref="E22:E24"/>
    <mergeCell ref="F22:F24"/>
    <mergeCell ref="O28:O30"/>
    <mergeCell ref="K25:K27"/>
    <mergeCell ref="L25:L27"/>
    <mergeCell ref="M25:M27"/>
    <mergeCell ref="A25:A27"/>
    <mergeCell ref="C25:C27"/>
    <mergeCell ref="D25:D27"/>
    <mergeCell ref="E25:E27"/>
    <mergeCell ref="F25:F27"/>
    <mergeCell ref="G25:G27"/>
    <mergeCell ref="H25:H27"/>
    <mergeCell ref="I25:I27"/>
    <mergeCell ref="J25:J27"/>
    <mergeCell ref="N22:N24"/>
    <mergeCell ref="O22:O24"/>
    <mergeCell ref="G22:G24"/>
    <mergeCell ref="K22:K24"/>
    <mergeCell ref="L22:L24"/>
    <mergeCell ref="M22:M24"/>
    <mergeCell ref="H22:H24"/>
    <mergeCell ref="I22:I24"/>
    <mergeCell ref="A1:AH2"/>
    <mergeCell ref="A7:H7"/>
    <mergeCell ref="I7:O7"/>
    <mergeCell ref="P7:X7"/>
    <mergeCell ref="Y7:AE7"/>
    <mergeCell ref="AF7:AH7"/>
    <mergeCell ref="C31:AH31"/>
    <mergeCell ref="N25:N27"/>
    <mergeCell ref="O25:O27"/>
    <mergeCell ref="A28:A30"/>
    <mergeCell ref="C28:C30"/>
    <mergeCell ref="D28:D30"/>
    <mergeCell ref="E28:E30"/>
    <mergeCell ref="F28:F30"/>
    <mergeCell ref="G28:G30"/>
    <mergeCell ref="H28:H30"/>
    <mergeCell ref="I28:I30"/>
    <mergeCell ref="J28:J30"/>
    <mergeCell ref="K28:K30"/>
    <mergeCell ref="L28:L30"/>
    <mergeCell ref="M28:M30"/>
    <mergeCell ref="N28:N30"/>
    <mergeCell ref="A22:A24"/>
    <mergeCell ref="C22:C24"/>
  </mergeCells>
  <conditionalFormatting sqref="I10 I13">
    <cfRule type="cellIs" dxfId="77" priority="321" operator="equal">
      <formula>"Media"</formula>
    </cfRule>
    <cfRule type="cellIs" dxfId="76" priority="320" operator="equal">
      <formula>"Alta"</formula>
    </cfRule>
    <cfRule type="cellIs" dxfId="75" priority="319" operator="equal">
      <formula>"Muy Alta"</formula>
    </cfRule>
    <cfRule type="cellIs" dxfId="74" priority="323" operator="equal">
      <formula>"Muy Baja"</formula>
    </cfRule>
    <cfRule type="cellIs" dxfId="73" priority="322" operator="equal">
      <formula>"Baja"</formula>
    </cfRule>
  </conditionalFormatting>
  <conditionalFormatting sqref="I16">
    <cfRule type="cellIs" dxfId="72" priority="221" operator="equal">
      <formula>"Muy Alta"</formula>
    </cfRule>
    <cfRule type="cellIs" dxfId="71" priority="225" operator="equal">
      <formula>"Muy Baja"</formula>
    </cfRule>
    <cfRule type="cellIs" dxfId="70" priority="224" operator="equal">
      <formula>"Baja"</formula>
    </cfRule>
    <cfRule type="cellIs" dxfId="69" priority="223" operator="equal">
      <formula>"Media"</formula>
    </cfRule>
    <cfRule type="cellIs" dxfId="68" priority="222" operator="equal">
      <formula>"Alta"</formula>
    </cfRule>
  </conditionalFormatting>
  <conditionalFormatting sqref="I19">
    <cfRule type="cellIs" dxfId="67" priority="197" operator="equal">
      <formula>"Muy Baja"</formula>
    </cfRule>
    <cfRule type="cellIs" dxfId="66" priority="195" operator="equal">
      <formula>"Media"</formula>
    </cfRule>
    <cfRule type="cellIs" dxfId="65" priority="196" operator="equal">
      <formula>"Baja"</formula>
    </cfRule>
    <cfRule type="cellIs" dxfId="64" priority="194" operator="equal">
      <formula>"Alta"</formula>
    </cfRule>
    <cfRule type="cellIs" dxfId="63" priority="193" operator="equal">
      <formula>"Muy Alta"</formula>
    </cfRule>
  </conditionalFormatting>
  <conditionalFormatting sqref="I22">
    <cfRule type="cellIs" dxfId="62" priority="137" operator="equal">
      <formula>"Muy Alta"</formula>
    </cfRule>
    <cfRule type="cellIs" dxfId="61" priority="139" operator="equal">
      <formula>"Media"</formula>
    </cfRule>
    <cfRule type="cellIs" dxfId="60" priority="140" operator="equal">
      <formula>"Baja"</formula>
    </cfRule>
    <cfRule type="cellIs" dxfId="59" priority="141" operator="equal">
      <formula>"Muy Baja"</formula>
    </cfRule>
    <cfRule type="cellIs" dxfId="58" priority="138" operator="equal">
      <formula>"Alta"</formula>
    </cfRule>
  </conditionalFormatting>
  <conditionalFormatting sqref="I25">
    <cfRule type="cellIs" dxfId="57" priority="53" operator="equal">
      <formula>"Muy Alta"</formula>
    </cfRule>
    <cfRule type="cellIs" dxfId="56" priority="54" operator="equal">
      <formula>"Alta"</formula>
    </cfRule>
    <cfRule type="cellIs" dxfId="55" priority="55" operator="equal">
      <formula>"Media"</formula>
    </cfRule>
    <cfRule type="cellIs" dxfId="54" priority="56" operator="equal">
      <formula>"Baja"</formula>
    </cfRule>
    <cfRule type="cellIs" dxfId="53" priority="57" operator="equal">
      <formula>"Muy Baja"</formula>
    </cfRule>
  </conditionalFormatting>
  <conditionalFormatting sqref="I28">
    <cfRule type="cellIs" dxfId="52" priority="26" operator="equal">
      <formula>"Alta"</formula>
    </cfRule>
    <cfRule type="cellIs" dxfId="51" priority="28" operator="equal">
      <formula>"Baja"</formula>
    </cfRule>
    <cfRule type="cellIs" dxfId="50" priority="29" operator="equal">
      <formula>"Muy Baja"</formula>
    </cfRule>
    <cfRule type="cellIs" dxfId="49" priority="25" operator="equal">
      <formula>"Muy Alta"</formula>
    </cfRule>
    <cfRule type="cellIs" dxfId="48" priority="27" operator="equal">
      <formula>"Media"</formula>
    </cfRule>
  </conditionalFormatting>
  <conditionalFormatting sqref="L10:L30">
    <cfRule type="containsText" dxfId="47" priority="1" operator="containsText" text="❌">
      <formula>NOT(ISERROR(SEARCH("❌",L10)))</formula>
    </cfRule>
  </conditionalFormatting>
  <conditionalFormatting sqref="M10 M13 M16 M19 M22 M25 M28">
    <cfRule type="cellIs" dxfId="46" priority="318" operator="equal">
      <formula>"Leve"</formula>
    </cfRule>
    <cfRule type="cellIs" dxfId="45" priority="317" operator="equal">
      <formula>"Menor"</formula>
    </cfRule>
    <cfRule type="cellIs" dxfId="44" priority="316" operator="equal">
      <formula>"Moderado"</formula>
    </cfRule>
    <cfRule type="cellIs" dxfId="43" priority="314" operator="equal">
      <formula>"Catastrófico"</formula>
    </cfRule>
    <cfRule type="cellIs" dxfId="42" priority="315" operator="equal">
      <formula>"Mayor"</formula>
    </cfRule>
  </conditionalFormatting>
  <conditionalFormatting sqref="O10">
    <cfRule type="cellIs" dxfId="41" priority="313" operator="equal">
      <formula>"Bajo"</formula>
    </cfRule>
    <cfRule type="cellIs" dxfId="40" priority="312" operator="equal">
      <formula>"Moderado"</formula>
    </cfRule>
    <cfRule type="cellIs" dxfId="39" priority="311" operator="equal">
      <formula>"Alto"</formula>
    </cfRule>
    <cfRule type="cellIs" dxfId="38" priority="310" operator="equal">
      <formula>"Extremo"</formula>
    </cfRule>
  </conditionalFormatting>
  <conditionalFormatting sqref="O13">
    <cfRule type="cellIs" dxfId="37" priority="243" operator="equal">
      <formula>"Bajo"</formula>
    </cfRule>
    <cfRule type="cellIs" dxfId="36" priority="241" operator="equal">
      <formula>"Alto"</formula>
    </cfRule>
    <cfRule type="cellIs" dxfId="35" priority="240" operator="equal">
      <formula>"Extremo"</formula>
    </cfRule>
    <cfRule type="cellIs" dxfId="34" priority="242" operator="equal">
      <formula>"Moderado"</formula>
    </cfRule>
  </conditionalFormatting>
  <conditionalFormatting sqref="O16">
    <cfRule type="cellIs" dxfId="33" priority="215" operator="equal">
      <formula>"Bajo"</formula>
    </cfRule>
    <cfRule type="cellIs" dxfId="32" priority="214" operator="equal">
      <formula>"Moderado"</formula>
    </cfRule>
    <cfRule type="cellIs" dxfId="31" priority="213" operator="equal">
      <formula>"Alto"</formula>
    </cfRule>
    <cfRule type="cellIs" dxfId="30" priority="212" operator="equal">
      <formula>"Extremo"</formula>
    </cfRule>
  </conditionalFormatting>
  <conditionalFormatting sqref="O19">
    <cfRule type="cellIs" dxfId="29" priority="187" operator="equal">
      <formula>"Bajo"</formula>
    </cfRule>
    <cfRule type="cellIs" dxfId="28" priority="184" operator="equal">
      <formula>"Extremo"</formula>
    </cfRule>
    <cfRule type="cellIs" dxfId="27" priority="185" operator="equal">
      <formula>"Alto"</formula>
    </cfRule>
    <cfRule type="cellIs" dxfId="26" priority="186" operator="equal">
      <formula>"Moderado"</formula>
    </cfRule>
  </conditionalFormatting>
  <conditionalFormatting sqref="O22">
    <cfRule type="cellIs" dxfId="25" priority="131" operator="equal">
      <formula>"Bajo"</formula>
    </cfRule>
    <cfRule type="cellIs" dxfId="24" priority="128" operator="equal">
      <formula>"Extremo"</formula>
    </cfRule>
    <cfRule type="cellIs" dxfId="23" priority="130" operator="equal">
      <formula>"Moderado"</formula>
    </cfRule>
    <cfRule type="cellIs" dxfId="22" priority="129" operator="equal">
      <formula>"Alto"</formula>
    </cfRule>
  </conditionalFormatting>
  <conditionalFormatting sqref="O25">
    <cfRule type="cellIs" dxfId="21" priority="44" operator="equal">
      <formula>"Extremo"</formula>
    </cfRule>
    <cfRule type="cellIs" dxfId="20" priority="47" operator="equal">
      <formula>"Bajo"</formula>
    </cfRule>
    <cfRule type="cellIs" dxfId="19" priority="46" operator="equal">
      <formula>"Moderado"</formula>
    </cfRule>
    <cfRule type="cellIs" dxfId="18" priority="45" operator="equal">
      <formula>"Alto"</formula>
    </cfRule>
  </conditionalFormatting>
  <conditionalFormatting sqref="O28">
    <cfRule type="cellIs" dxfId="17" priority="18" operator="equal">
      <formula>"Moderado"</formula>
    </cfRule>
    <cfRule type="cellIs" dxfId="16" priority="17" operator="equal">
      <formula>"Alto"</formula>
    </cfRule>
    <cfRule type="cellIs" dxfId="15" priority="19" operator="equal">
      <formula>"Bajo"</formula>
    </cfRule>
    <cfRule type="cellIs" dxfId="14" priority="16" operator="equal">
      <formula>"Extremo"</formula>
    </cfRule>
  </conditionalFormatting>
  <conditionalFormatting sqref="Z10:Z16 Z19:Z30">
    <cfRule type="cellIs" dxfId="13" priority="15" operator="equal">
      <formula>"Muy Baja"</formula>
    </cfRule>
    <cfRule type="cellIs" dxfId="12" priority="14" operator="equal">
      <formula>"Baja"</formula>
    </cfRule>
    <cfRule type="cellIs" dxfId="11" priority="13" operator="equal">
      <formula>"Media"</formula>
    </cfRule>
    <cfRule type="cellIs" dxfId="10" priority="12" operator="equal">
      <formula>"Alta"</formula>
    </cfRule>
    <cfRule type="cellIs" dxfId="9" priority="11" operator="equal">
      <formula>"Muy Alta"</formula>
    </cfRule>
  </conditionalFormatting>
  <conditionalFormatting sqref="AB10:AB16 AB19:AB30">
    <cfRule type="cellIs" dxfId="8" priority="10" operator="equal">
      <formula>"Leve"</formula>
    </cfRule>
    <cfRule type="cellIs" dxfId="7" priority="8" operator="equal">
      <formula>"Moderado"</formula>
    </cfRule>
    <cfRule type="cellIs" dxfId="6" priority="9" operator="equal">
      <formula>"Menor"</formula>
    </cfRule>
    <cfRule type="cellIs" dxfId="5" priority="7" operator="equal">
      <formula>"Mayor"</formula>
    </cfRule>
    <cfRule type="cellIs" dxfId="4" priority="6" operator="equal">
      <formula>"Catastrófico"</formula>
    </cfRule>
  </conditionalFormatting>
  <conditionalFormatting sqref="AD10:AD16 AD19:AD30">
    <cfRule type="cellIs" dxfId="3" priority="5" operator="equal">
      <formula>"Bajo"</formula>
    </cfRule>
    <cfRule type="cellIs" dxfId="2" priority="4" operator="equal">
      <formula>"Moderado"</formula>
    </cfRule>
    <cfRule type="cellIs" dxfId="1" priority="3" operator="equal">
      <formula>"Alto"</formula>
    </cfRule>
    <cfRule type="cellIs" dxfId="0" priority="2" operator="equal">
      <formula>"Extremo"</formula>
    </cfRule>
  </conditionalFormatting>
  <pageMargins left="0.7" right="0.7" top="0.75" bottom="0.75" header="0.3" footer="0.3"/>
  <pageSetup orientation="portrait" r:id="rId1"/>
  <ignoredErrors>
    <ignoredError sqref="AC12" formula="1"/>
  </ignoredErrors>
  <drawing r:id="rId2"/>
  <extLst>
    <ext xmlns:x14="http://schemas.microsoft.com/office/spreadsheetml/2009/9/main" uri="{CCE6A557-97BC-4b89-ADB6-D9C93CAAB3DF}">
      <x14:dataValidations xmlns:xm="http://schemas.microsoft.com/office/excel/2006/main" count="12">
        <x14:dataValidation type="custom" allowBlank="1" showInputMessage="1" showErrorMessage="1" error="Recuerde que las acciones se generan bajo la medida de mitigar el riesgo" xr:uid="{00000000-0002-0000-0100-000000000000}">
          <x14:formula1>
            <xm:f>IF(OR(AE10='Opciones Tratamiento'!$B$2,AE10='Opciones Tratamiento'!$B$3,AE10='Opciones Tratamiento'!$B$4),ISBLANK(AE10),ISTEXT(AE10))</xm:f>
          </x14:formula1>
          <xm:sqref>AF10:AF15 AF18:AF30</xm:sqref>
        </x14:dataValidation>
        <x14:dataValidation type="custom" allowBlank="1" showInputMessage="1" showErrorMessage="1" error="Recuerde que las acciones se generan bajo la medida de mitigar el riesgo" xr:uid="{00000000-0002-0000-0100-000001000000}">
          <x14:formula1>
            <xm:f>IF(OR(AE10='Opciones Tratamiento'!$B$2,AE10='Opciones Tratamiento'!$B$3,AE10='Opciones Tratamiento'!$B$4),ISBLANK(AE10),ISTEXT(AE10))</xm:f>
          </x14:formula1>
          <xm:sqref>AG10:AG30</xm:sqref>
        </x14:dataValidation>
        <x14:dataValidation type="list" allowBlank="1" showInputMessage="1" showErrorMessage="1" xr:uid="{00000000-0002-0000-0100-000002000000}">
          <x14:formula1>
            <xm:f>'Tabla Valoración controles'!$D$4:$D$6</xm:f>
          </x14:formula1>
          <xm:sqref>S10:S16 S19:S30</xm:sqref>
        </x14:dataValidation>
        <x14:dataValidation type="list" allowBlank="1" showInputMessage="1" showErrorMessage="1" xr:uid="{00000000-0002-0000-0100-000003000000}">
          <x14:formula1>
            <xm:f>'Tabla Valoración controles'!$D$7:$D$8</xm:f>
          </x14:formula1>
          <xm:sqref>T10:T16 T19:T30</xm:sqref>
        </x14:dataValidation>
        <x14:dataValidation type="list" allowBlank="1" showInputMessage="1" showErrorMessage="1" xr:uid="{00000000-0002-0000-0100-000004000000}">
          <x14:formula1>
            <xm:f>'Tabla Valoración controles'!$D$9:$D$10</xm:f>
          </x14:formula1>
          <xm:sqref>V10:V16 V19:V30</xm:sqref>
        </x14:dataValidation>
        <x14:dataValidation type="list" allowBlank="1" showInputMessage="1" showErrorMessage="1" xr:uid="{00000000-0002-0000-0100-000005000000}">
          <x14:formula1>
            <xm:f>'Tabla Valoración controles'!$D$11:$D$12</xm:f>
          </x14:formula1>
          <xm:sqref>W10:W16 W19:W30</xm:sqref>
        </x14:dataValidation>
        <x14:dataValidation type="list" allowBlank="1" showInputMessage="1" showErrorMessage="1" xr:uid="{00000000-0002-0000-0100-000006000000}">
          <x14:formula1>
            <xm:f>'Tabla Valoración controles'!$D$13:$D$14</xm:f>
          </x14:formula1>
          <xm:sqref>X10:X16 X19:X30</xm:sqref>
        </x14:dataValidation>
        <x14:dataValidation type="list" allowBlank="1" showInputMessage="1" showErrorMessage="1" xr:uid="{00000000-0002-0000-0100-000007000000}">
          <x14:formula1>
            <xm:f>'Opciones Tratamiento'!$B$13:$B$19</xm:f>
          </x14:formula1>
          <xm:sqref>G10:G30</xm:sqref>
        </x14:dataValidation>
        <x14:dataValidation type="list" allowBlank="1" showInputMessage="1" showErrorMessage="1" xr:uid="{00000000-0002-0000-0100-000008000000}">
          <x14:formula1>
            <xm:f>'Opciones Tratamiento'!$E$2:$E$4</xm:f>
          </x14:formula1>
          <xm:sqref>C10:C30</xm:sqref>
        </x14:dataValidation>
        <x14:dataValidation type="list" allowBlank="1" showInputMessage="1" showErrorMessage="1" xr:uid="{00000000-0002-0000-0100-000009000000}">
          <x14:formula1>
            <xm:f>'Opciones Tratamiento'!$B$2:$B$5</xm:f>
          </x14:formula1>
          <xm:sqref>AE10:AE16 AE19:AE30</xm:sqref>
        </x14:dataValidation>
        <x14:dataValidation type="list" allowBlank="1" showInputMessage="1" showErrorMessage="1" xr:uid="{00000000-0002-0000-0100-00000A000000}">
          <x14:formula1>
            <xm:f>'Tabla Impacto'!$F$210:$F$221</xm:f>
          </x14:formula1>
          <xm:sqref>K10:K30</xm:sqref>
        </x14:dataValidation>
        <x14:dataValidation type="custom" allowBlank="1" showInputMessage="1" showErrorMessage="1" error="Recuerde que las acciones se generan bajo la medida de mitigar el riesgo" xr:uid="{00000000-0002-0000-0100-00000B000000}">
          <x14:formula1>
            <xm:f>IF(OR(AE10='Opciones Tratamiento'!$B$2,AE10='Opciones Tratamiento'!$B$3,AE10='Opciones Tratamiento'!$B$4),ISBLANK(AE10),ISTEXT(AE10))</xm:f>
          </x14:formula1>
          <xm:sqref>AH10:AH30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321" t="s">
        <v>155</v>
      </c>
      <c r="C2" s="321"/>
      <c r="D2" s="321"/>
      <c r="E2" s="321"/>
      <c r="F2" s="321"/>
      <c r="G2" s="321"/>
      <c r="H2" s="321"/>
      <c r="I2" s="321"/>
      <c r="J2" s="289" t="s">
        <v>2</v>
      </c>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321"/>
      <c r="C3" s="321"/>
      <c r="D3" s="321"/>
      <c r="E3" s="321"/>
      <c r="F3" s="321"/>
      <c r="G3" s="321"/>
      <c r="H3" s="321"/>
      <c r="I3" s="321"/>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321"/>
      <c r="C4" s="321"/>
      <c r="D4" s="321"/>
      <c r="E4" s="321"/>
      <c r="F4" s="321"/>
      <c r="G4" s="321"/>
      <c r="H4" s="321"/>
      <c r="I4" s="321"/>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236" t="s">
        <v>4</v>
      </c>
      <c r="C6" s="236"/>
      <c r="D6" s="237"/>
      <c r="E6" s="274" t="s">
        <v>112</v>
      </c>
      <c r="F6" s="275"/>
      <c r="G6" s="275"/>
      <c r="H6" s="275"/>
      <c r="I6" s="276"/>
      <c r="J6" s="285" t="str">
        <f>IF(AND('Mapa final'!$I$10="Muy Alta",'Mapa final'!$M$10="Leve"),CONCATENATE("R",'Mapa final'!$A$10),"")</f>
        <v/>
      </c>
      <c r="K6" s="286"/>
      <c r="L6" s="286" t="str">
        <f>IF(AND('Mapa final'!$I$13="Muy Alta",'Mapa final'!$M$13="Leve"),CONCATENATE("R",'Mapa final'!$A$13),"")</f>
        <v/>
      </c>
      <c r="M6" s="286"/>
      <c r="N6" s="286" t="str">
        <f>IF(AND('Mapa final'!$I$16="Muy Alta",'Mapa final'!$M$16="Leve"),CONCATENATE("R",'Mapa final'!$A$16),"")</f>
        <v/>
      </c>
      <c r="O6" s="288"/>
      <c r="P6" s="285" t="str">
        <f>IF(AND('Mapa final'!$I$10="Muy Alta",'Mapa final'!$M$10="Menor"),CONCATENATE("R",'Mapa final'!$A$10),"")</f>
        <v/>
      </c>
      <c r="Q6" s="286"/>
      <c r="R6" s="286" t="str">
        <f>IF(AND('Mapa final'!$I$13="Muy Alta",'Mapa final'!$M$13="Menor"),CONCATENATE("R",'Mapa final'!$A$13),"")</f>
        <v/>
      </c>
      <c r="S6" s="286"/>
      <c r="T6" s="286" t="str">
        <f>IF(AND('Mapa final'!$I$16="Muy Alta",'Mapa final'!$M$16="Menor"),CONCATENATE("R",'Mapa final'!$A$16),"")</f>
        <v/>
      </c>
      <c r="U6" s="288"/>
      <c r="V6" s="285" t="str">
        <f>IF(AND('Mapa final'!$I$10="Muy Alta",'Mapa final'!$M$10="Moderado"),CONCATENATE("R",'Mapa final'!$A$10),"")</f>
        <v/>
      </c>
      <c r="W6" s="286"/>
      <c r="X6" s="286" t="str">
        <f>IF(AND('Mapa final'!$I$13="Muy Alta",'Mapa final'!$M$13="Moderado"),CONCATENATE("R",'Mapa final'!$A$13),"")</f>
        <v/>
      </c>
      <c r="Y6" s="286"/>
      <c r="Z6" s="286" t="str">
        <f>IF(AND('Mapa final'!$I$16="Muy Alta",'Mapa final'!$M$16="Moderado"),CONCATENATE("R",'Mapa final'!$A$16),"")</f>
        <v/>
      </c>
      <c r="AA6" s="288"/>
      <c r="AB6" s="285" t="str">
        <f>IF(AND('Mapa final'!$I$10="Muy Alta",'Mapa final'!$M$10="Mayor"),CONCATENATE("R",'Mapa final'!$A$10),"")</f>
        <v/>
      </c>
      <c r="AC6" s="286"/>
      <c r="AD6" s="286" t="str">
        <f>IF(AND('Mapa final'!$I$13="Muy Alta",'Mapa final'!$M$13="Mayor"),CONCATENATE("R",'Mapa final'!$A$13),"")</f>
        <v/>
      </c>
      <c r="AE6" s="286"/>
      <c r="AF6" s="286" t="str">
        <f>IF(AND('Mapa final'!$I$16="Muy Alta",'Mapa final'!$M$16="Mayor"),CONCATENATE("R",'Mapa final'!$A$16),"")</f>
        <v/>
      </c>
      <c r="AG6" s="288"/>
      <c r="AH6" s="300" t="str">
        <f>IF(AND('Mapa final'!$I$10="Muy Alta",'Mapa final'!$M$10="Catastrófico"),CONCATENATE("R",'Mapa final'!$A$10),"")</f>
        <v/>
      </c>
      <c r="AI6" s="301"/>
      <c r="AJ6" s="301" t="str">
        <f>IF(AND('Mapa final'!$I$13="Muy Alta",'Mapa final'!$M$13="Catastrófico"),CONCATENATE("R",'Mapa final'!$A$13),"")</f>
        <v/>
      </c>
      <c r="AK6" s="301"/>
      <c r="AL6" s="301" t="str">
        <f>IF(AND('Mapa final'!$I$16="Muy Alta",'Mapa final'!$M$16="Catastrófico"),CONCATENATE("R",'Mapa final'!$A$16),"")</f>
        <v/>
      </c>
      <c r="AM6" s="302"/>
      <c r="AO6" s="238" t="s">
        <v>75</v>
      </c>
      <c r="AP6" s="239"/>
      <c r="AQ6" s="239"/>
      <c r="AR6" s="239"/>
      <c r="AS6" s="239"/>
      <c r="AT6" s="240"/>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236"/>
      <c r="C7" s="236"/>
      <c r="D7" s="237"/>
      <c r="E7" s="277"/>
      <c r="F7" s="278"/>
      <c r="G7" s="278"/>
      <c r="H7" s="278"/>
      <c r="I7" s="279"/>
      <c r="J7" s="287"/>
      <c r="K7" s="283"/>
      <c r="L7" s="283"/>
      <c r="M7" s="283"/>
      <c r="N7" s="283"/>
      <c r="O7" s="284"/>
      <c r="P7" s="287"/>
      <c r="Q7" s="283"/>
      <c r="R7" s="283"/>
      <c r="S7" s="283"/>
      <c r="T7" s="283"/>
      <c r="U7" s="284"/>
      <c r="V7" s="287"/>
      <c r="W7" s="283"/>
      <c r="X7" s="283"/>
      <c r="Y7" s="283"/>
      <c r="Z7" s="283"/>
      <c r="AA7" s="284"/>
      <c r="AB7" s="287"/>
      <c r="AC7" s="283"/>
      <c r="AD7" s="283"/>
      <c r="AE7" s="283"/>
      <c r="AF7" s="283"/>
      <c r="AG7" s="284"/>
      <c r="AH7" s="294"/>
      <c r="AI7" s="295"/>
      <c r="AJ7" s="295"/>
      <c r="AK7" s="295"/>
      <c r="AL7" s="295"/>
      <c r="AM7" s="296"/>
      <c r="AN7" s="83"/>
      <c r="AO7" s="241"/>
      <c r="AP7" s="242"/>
      <c r="AQ7" s="242"/>
      <c r="AR7" s="242"/>
      <c r="AS7" s="242"/>
      <c r="AT7" s="24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236"/>
      <c r="C8" s="236"/>
      <c r="D8" s="237"/>
      <c r="E8" s="277"/>
      <c r="F8" s="278"/>
      <c r="G8" s="278"/>
      <c r="H8" s="278"/>
      <c r="I8" s="279"/>
      <c r="J8" s="287" t="str">
        <f>IF(AND('Mapa final'!$I$19="Muy Alta",'Mapa final'!$M$19="Leve"),CONCATENATE("R",'Mapa final'!$A$19),"")</f>
        <v/>
      </c>
      <c r="K8" s="283"/>
      <c r="L8" s="283" t="e">
        <f>IF(AND('Mapa final'!#REF!="Muy Alta",'Mapa final'!#REF!="Leve"),CONCATENATE("R",'Mapa final'!#REF!),"")</f>
        <v>#REF!</v>
      </c>
      <c r="M8" s="283"/>
      <c r="N8" s="283" t="str">
        <f>IF(AND('Mapa final'!$I$22="Muy Alta",'Mapa final'!$M$22="Leve"),CONCATENATE("R",'Mapa final'!$A$22),"")</f>
        <v/>
      </c>
      <c r="O8" s="284"/>
      <c r="P8" s="287" t="str">
        <f>IF(AND('Mapa final'!$I$19="Muy Alta",'Mapa final'!$M$19="Menor"),CONCATENATE("R",'Mapa final'!$A$19),"")</f>
        <v/>
      </c>
      <c r="Q8" s="283"/>
      <c r="R8" s="283" t="e">
        <f>IF(AND('Mapa final'!#REF!="Muy Alta",'Mapa final'!#REF!="Menor"),CONCATENATE("R",'Mapa final'!#REF!),"")</f>
        <v>#REF!</v>
      </c>
      <c r="S8" s="283"/>
      <c r="T8" s="283" t="str">
        <f>IF(AND('Mapa final'!$I$22="Muy Alta",'Mapa final'!$M$22="Menor"),CONCATENATE("R",'Mapa final'!$A$22),"")</f>
        <v/>
      </c>
      <c r="U8" s="284"/>
      <c r="V8" s="287" t="str">
        <f>IF(AND('Mapa final'!$I$19="Muy Alta",'Mapa final'!$M$19="Moderado"),CONCATENATE("R",'Mapa final'!$A$19),"")</f>
        <v/>
      </c>
      <c r="W8" s="283"/>
      <c r="X8" s="283" t="e">
        <f>IF(AND('Mapa final'!#REF!="Muy Alta",'Mapa final'!#REF!="Moderado"),CONCATENATE("R",'Mapa final'!#REF!),"")</f>
        <v>#REF!</v>
      </c>
      <c r="Y8" s="283"/>
      <c r="Z8" s="283" t="str">
        <f>IF(AND('Mapa final'!$I$22="Muy Alta",'Mapa final'!$M$22="Moderado"),CONCATENATE("R",'Mapa final'!$A$22),"")</f>
        <v/>
      </c>
      <c r="AA8" s="284"/>
      <c r="AB8" s="287" t="str">
        <f>IF(AND('Mapa final'!$I$19="Muy Alta",'Mapa final'!$M$19="Mayor"),CONCATENATE("R",'Mapa final'!$A$19),"")</f>
        <v/>
      </c>
      <c r="AC8" s="283"/>
      <c r="AD8" s="283" t="e">
        <f>IF(AND('Mapa final'!#REF!="Muy Alta",'Mapa final'!#REF!="Mayor"),CONCATENATE("R",'Mapa final'!#REF!),"")</f>
        <v>#REF!</v>
      </c>
      <c r="AE8" s="283"/>
      <c r="AF8" s="283" t="str">
        <f>IF(AND('Mapa final'!$I$22="Muy Alta",'Mapa final'!$M$22="Mayor"),CONCATENATE("R",'Mapa final'!$A$22),"")</f>
        <v/>
      </c>
      <c r="AG8" s="284"/>
      <c r="AH8" s="294" t="str">
        <f>IF(AND('Mapa final'!$I$19="Muy Alta",'Mapa final'!$M$19="Catastrófico"),CONCATENATE("R",'Mapa final'!$A$19),"")</f>
        <v/>
      </c>
      <c r="AI8" s="295"/>
      <c r="AJ8" s="295" t="e">
        <f>IF(AND('Mapa final'!#REF!="Muy Alta",'Mapa final'!#REF!="Catastrófico"),CONCATENATE("R",'Mapa final'!#REF!),"")</f>
        <v>#REF!</v>
      </c>
      <c r="AK8" s="295"/>
      <c r="AL8" s="295" t="str">
        <f>IF(AND('Mapa final'!$I$22="Muy Alta",'Mapa final'!$M$22="Catastrófico"),CONCATENATE("R",'Mapa final'!$A$22),"")</f>
        <v/>
      </c>
      <c r="AM8" s="296"/>
      <c r="AN8" s="83"/>
      <c r="AO8" s="241"/>
      <c r="AP8" s="242"/>
      <c r="AQ8" s="242"/>
      <c r="AR8" s="242"/>
      <c r="AS8" s="242"/>
      <c r="AT8" s="24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236"/>
      <c r="C9" s="236"/>
      <c r="D9" s="237"/>
      <c r="E9" s="277"/>
      <c r="F9" s="278"/>
      <c r="G9" s="278"/>
      <c r="H9" s="278"/>
      <c r="I9" s="279"/>
      <c r="J9" s="287"/>
      <c r="K9" s="283"/>
      <c r="L9" s="283"/>
      <c r="M9" s="283"/>
      <c r="N9" s="283"/>
      <c r="O9" s="284"/>
      <c r="P9" s="287"/>
      <c r="Q9" s="283"/>
      <c r="R9" s="283"/>
      <c r="S9" s="283"/>
      <c r="T9" s="283"/>
      <c r="U9" s="284"/>
      <c r="V9" s="287"/>
      <c r="W9" s="283"/>
      <c r="X9" s="283"/>
      <c r="Y9" s="283"/>
      <c r="Z9" s="283"/>
      <c r="AA9" s="284"/>
      <c r="AB9" s="287"/>
      <c r="AC9" s="283"/>
      <c r="AD9" s="283"/>
      <c r="AE9" s="283"/>
      <c r="AF9" s="283"/>
      <c r="AG9" s="284"/>
      <c r="AH9" s="294"/>
      <c r="AI9" s="295"/>
      <c r="AJ9" s="295"/>
      <c r="AK9" s="295"/>
      <c r="AL9" s="295"/>
      <c r="AM9" s="296"/>
      <c r="AN9" s="83"/>
      <c r="AO9" s="241"/>
      <c r="AP9" s="242"/>
      <c r="AQ9" s="242"/>
      <c r="AR9" s="242"/>
      <c r="AS9" s="242"/>
      <c r="AT9" s="24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236"/>
      <c r="C10" s="236"/>
      <c r="D10" s="237"/>
      <c r="E10" s="277"/>
      <c r="F10" s="278"/>
      <c r="G10" s="278"/>
      <c r="H10" s="278"/>
      <c r="I10" s="279"/>
      <c r="J10" s="287" t="e">
        <f>IF(AND('Mapa final'!#REF!="Muy Alta",'Mapa final'!#REF!="Leve"),CONCATENATE("R",'Mapa final'!#REF!),"")</f>
        <v>#REF!</v>
      </c>
      <c r="K10" s="283"/>
      <c r="L10" s="283" t="e">
        <f>IF(AND('Mapa final'!#REF!="Muy Alta",'Mapa final'!#REF!="Leve"),CONCATENATE("R",'Mapa final'!#REF!),"")</f>
        <v>#REF!</v>
      </c>
      <c r="M10" s="283"/>
      <c r="N10" s="283" t="str">
        <f>IF(AND('Mapa final'!$I$25="Muy Alta",'Mapa final'!$M$25="Leve"),CONCATENATE("R",'Mapa final'!$A$25),"")</f>
        <v/>
      </c>
      <c r="O10" s="284"/>
      <c r="P10" s="287" t="e">
        <f>IF(AND('Mapa final'!#REF!="Muy Alta",'Mapa final'!#REF!="Menor"),CONCATENATE("R",'Mapa final'!#REF!),"")</f>
        <v>#REF!</v>
      </c>
      <c r="Q10" s="283"/>
      <c r="R10" s="283" t="e">
        <f>IF(AND('Mapa final'!#REF!="Muy Alta",'Mapa final'!#REF!="Menor"),CONCATENATE("R",'Mapa final'!#REF!),"")</f>
        <v>#REF!</v>
      </c>
      <c r="S10" s="283"/>
      <c r="T10" s="283" t="str">
        <f>IF(AND('Mapa final'!$I$25="Muy Alta",'Mapa final'!$M$25="Menor"),CONCATENATE("R",'Mapa final'!$A$25),"")</f>
        <v/>
      </c>
      <c r="U10" s="284"/>
      <c r="V10" s="287" t="e">
        <f>IF(AND('Mapa final'!#REF!="Muy Alta",'Mapa final'!#REF!="Moderado"),CONCATENATE("R",'Mapa final'!#REF!),"")</f>
        <v>#REF!</v>
      </c>
      <c r="W10" s="283"/>
      <c r="X10" s="283" t="e">
        <f>IF(AND('Mapa final'!#REF!="Muy Alta",'Mapa final'!#REF!="Moderado"),CONCATENATE("R",'Mapa final'!#REF!),"")</f>
        <v>#REF!</v>
      </c>
      <c r="Y10" s="283"/>
      <c r="Z10" s="283" t="str">
        <f>IF(AND('Mapa final'!$I$25="Muy Alta",'Mapa final'!$M$25="Moderado"),CONCATENATE("R",'Mapa final'!$A$25),"")</f>
        <v/>
      </c>
      <c r="AA10" s="284"/>
      <c r="AB10" s="287" t="e">
        <f>IF(AND('Mapa final'!#REF!="Muy Alta",'Mapa final'!#REF!="Mayor"),CONCATENATE("R",'Mapa final'!#REF!),"")</f>
        <v>#REF!</v>
      </c>
      <c r="AC10" s="283"/>
      <c r="AD10" s="283" t="e">
        <f>IF(AND('Mapa final'!#REF!="Muy Alta",'Mapa final'!#REF!="Mayor"),CONCATENATE("R",'Mapa final'!#REF!),"")</f>
        <v>#REF!</v>
      </c>
      <c r="AE10" s="283"/>
      <c r="AF10" s="283" t="str">
        <f>IF(AND('Mapa final'!$I$25="Muy Alta",'Mapa final'!$M$25="Mayor"),CONCATENATE("R",'Mapa final'!$A$25),"")</f>
        <v/>
      </c>
      <c r="AG10" s="284"/>
      <c r="AH10" s="294" t="e">
        <f>IF(AND('Mapa final'!#REF!="Muy Alta",'Mapa final'!#REF!="Catastrófico"),CONCATENATE("R",'Mapa final'!#REF!),"")</f>
        <v>#REF!</v>
      </c>
      <c r="AI10" s="295"/>
      <c r="AJ10" s="295" t="e">
        <f>IF(AND('Mapa final'!#REF!="Muy Alta",'Mapa final'!#REF!="Catastrófico"),CONCATENATE("R",'Mapa final'!#REF!),"")</f>
        <v>#REF!</v>
      </c>
      <c r="AK10" s="295"/>
      <c r="AL10" s="295" t="str">
        <f>IF(AND('Mapa final'!$I$25="Muy Alta",'Mapa final'!$M$25="Catastrófico"),CONCATENATE("R",'Mapa final'!$A$25),"")</f>
        <v/>
      </c>
      <c r="AM10" s="296"/>
      <c r="AN10" s="83"/>
      <c r="AO10" s="241"/>
      <c r="AP10" s="242"/>
      <c r="AQ10" s="242"/>
      <c r="AR10" s="242"/>
      <c r="AS10" s="242"/>
      <c r="AT10" s="24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236"/>
      <c r="C11" s="236"/>
      <c r="D11" s="237"/>
      <c r="E11" s="277"/>
      <c r="F11" s="278"/>
      <c r="G11" s="278"/>
      <c r="H11" s="278"/>
      <c r="I11" s="279"/>
      <c r="J11" s="287"/>
      <c r="K11" s="283"/>
      <c r="L11" s="283"/>
      <c r="M11" s="283"/>
      <c r="N11" s="283"/>
      <c r="O11" s="284"/>
      <c r="P11" s="287"/>
      <c r="Q11" s="283"/>
      <c r="R11" s="283"/>
      <c r="S11" s="283"/>
      <c r="T11" s="283"/>
      <c r="U11" s="284"/>
      <c r="V11" s="287"/>
      <c r="W11" s="283"/>
      <c r="X11" s="283"/>
      <c r="Y11" s="283"/>
      <c r="Z11" s="283"/>
      <c r="AA11" s="284"/>
      <c r="AB11" s="287"/>
      <c r="AC11" s="283"/>
      <c r="AD11" s="283"/>
      <c r="AE11" s="283"/>
      <c r="AF11" s="283"/>
      <c r="AG11" s="284"/>
      <c r="AH11" s="294"/>
      <c r="AI11" s="295"/>
      <c r="AJ11" s="295"/>
      <c r="AK11" s="295"/>
      <c r="AL11" s="295"/>
      <c r="AM11" s="296"/>
      <c r="AN11" s="83"/>
      <c r="AO11" s="241"/>
      <c r="AP11" s="242"/>
      <c r="AQ11" s="242"/>
      <c r="AR11" s="242"/>
      <c r="AS11" s="242"/>
      <c r="AT11" s="24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236"/>
      <c r="C12" s="236"/>
      <c r="D12" s="237"/>
      <c r="E12" s="277"/>
      <c r="F12" s="278"/>
      <c r="G12" s="278"/>
      <c r="H12" s="278"/>
      <c r="I12" s="279"/>
      <c r="J12" s="287" t="str">
        <f>IF(AND('Mapa final'!$I$28="Muy Alta",'Mapa final'!$M$28="Leve"),CONCATENATE("R",'Mapa final'!$A$28),"")</f>
        <v/>
      </c>
      <c r="K12" s="283"/>
      <c r="L12" s="283" t="str">
        <f>IF(AND('Mapa final'!$I$31="Muy Alta",'Mapa final'!$M$31="Leve"),CONCATENATE("R",'Mapa final'!$A$31),"")</f>
        <v/>
      </c>
      <c r="M12" s="283"/>
      <c r="N12" s="283" t="str">
        <f>IF(AND('Mapa final'!$I$37="Muy Alta",'Mapa final'!$M$37="Leve"),CONCATENATE("R",'Mapa final'!$A$37),"")</f>
        <v/>
      </c>
      <c r="O12" s="284"/>
      <c r="P12" s="287" t="str">
        <f>IF(AND('Mapa final'!$I$28="Muy Alta",'Mapa final'!$M$28="Menor"),CONCATENATE("R",'Mapa final'!$A$28),"")</f>
        <v/>
      </c>
      <c r="Q12" s="283"/>
      <c r="R12" s="283" t="str">
        <f>IF(AND('Mapa final'!$I$31="Muy Alta",'Mapa final'!$M$31="Menor"),CONCATENATE("R",'Mapa final'!$A$31),"")</f>
        <v/>
      </c>
      <c r="S12" s="283"/>
      <c r="T12" s="283" t="str">
        <f>IF(AND('Mapa final'!$I$37="Muy Alta",'Mapa final'!$M$37="Menor"),CONCATENATE("R",'Mapa final'!$A$37),"")</f>
        <v/>
      </c>
      <c r="U12" s="284"/>
      <c r="V12" s="287" t="str">
        <f>IF(AND('Mapa final'!$I$28="Muy Alta",'Mapa final'!$M$28="Moderado"),CONCATENATE("R",'Mapa final'!$A$28),"")</f>
        <v/>
      </c>
      <c r="W12" s="283"/>
      <c r="X12" s="283" t="str">
        <f>IF(AND('Mapa final'!$I$31="Muy Alta",'Mapa final'!$M$31="Moderado"),CONCATENATE("R",'Mapa final'!$A$31),"")</f>
        <v/>
      </c>
      <c r="Y12" s="283"/>
      <c r="Z12" s="283" t="str">
        <f>IF(AND('Mapa final'!$I$37="Muy Alta",'Mapa final'!$M$37="Moderado"),CONCATENATE("R",'Mapa final'!$A$37),"")</f>
        <v/>
      </c>
      <c r="AA12" s="284"/>
      <c r="AB12" s="287" t="str">
        <f>IF(AND('Mapa final'!$I$28="Muy Alta",'Mapa final'!$M$28="Mayor"),CONCATENATE("R",'Mapa final'!$A$28),"")</f>
        <v/>
      </c>
      <c r="AC12" s="283"/>
      <c r="AD12" s="283" t="str">
        <f>IF(AND('Mapa final'!$I$31="Muy Alta",'Mapa final'!$M$31="Mayor"),CONCATENATE("R",'Mapa final'!$A$31),"")</f>
        <v/>
      </c>
      <c r="AE12" s="283"/>
      <c r="AF12" s="283" t="str">
        <f>IF(AND('Mapa final'!$I$37="Muy Alta",'Mapa final'!$M$37="Mayor"),CONCATENATE("R",'Mapa final'!$A$37),"")</f>
        <v/>
      </c>
      <c r="AG12" s="284"/>
      <c r="AH12" s="294" t="str">
        <f>IF(AND('Mapa final'!$I$28="Muy Alta",'Mapa final'!$M$28="Catastrófico"),CONCATENATE("R",'Mapa final'!$A$28),"")</f>
        <v/>
      </c>
      <c r="AI12" s="295"/>
      <c r="AJ12" s="295" t="str">
        <f>IF(AND('Mapa final'!$I$31="Muy Alta",'Mapa final'!$M$31="Catastrófico"),CONCATENATE("R",'Mapa final'!$A$31),"")</f>
        <v/>
      </c>
      <c r="AK12" s="295"/>
      <c r="AL12" s="295" t="str">
        <f>IF(AND('Mapa final'!$I$37="Muy Alta",'Mapa final'!$M$37="Catastrófico"),CONCATENATE("R",'Mapa final'!$A$37),"")</f>
        <v/>
      </c>
      <c r="AM12" s="296"/>
      <c r="AN12" s="83"/>
      <c r="AO12" s="241"/>
      <c r="AP12" s="242"/>
      <c r="AQ12" s="242"/>
      <c r="AR12" s="242"/>
      <c r="AS12" s="242"/>
      <c r="AT12" s="24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236"/>
      <c r="C13" s="236"/>
      <c r="D13" s="237"/>
      <c r="E13" s="280"/>
      <c r="F13" s="281"/>
      <c r="G13" s="281"/>
      <c r="H13" s="281"/>
      <c r="I13" s="282"/>
      <c r="J13" s="287"/>
      <c r="K13" s="283"/>
      <c r="L13" s="283"/>
      <c r="M13" s="283"/>
      <c r="N13" s="283"/>
      <c r="O13" s="284"/>
      <c r="P13" s="287"/>
      <c r="Q13" s="283"/>
      <c r="R13" s="283"/>
      <c r="S13" s="283"/>
      <c r="T13" s="283"/>
      <c r="U13" s="284"/>
      <c r="V13" s="287"/>
      <c r="W13" s="283"/>
      <c r="X13" s="283"/>
      <c r="Y13" s="283"/>
      <c r="Z13" s="283"/>
      <c r="AA13" s="284"/>
      <c r="AB13" s="287"/>
      <c r="AC13" s="283"/>
      <c r="AD13" s="283"/>
      <c r="AE13" s="283"/>
      <c r="AF13" s="283"/>
      <c r="AG13" s="284"/>
      <c r="AH13" s="297"/>
      <c r="AI13" s="298"/>
      <c r="AJ13" s="298"/>
      <c r="AK13" s="298"/>
      <c r="AL13" s="298"/>
      <c r="AM13" s="299"/>
      <c r="AN13" s="83"/>
      <c r="AO13" s="244"/>
      <c r="AP13" s="245"/>
      <c r="AQ13" s="245"/>
      <c r="AR13" s="245"/>
      <c r="AS13" s="245"/>
      <c r="AT13" s="246"/>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236"/>
      <c r="C14" s="236"/>
      <c r="D14" s="237"/>
      <c r="E14" s="274" t="s">
        <v>111</v>
      </c>
      <c r="F14" s="275"/>
      <c r="G14" s="275"/>
      <c r="H14" s="275"/>
      <c r="I14" s="275"/>
      <c r="J14" s="309" t="str">
        <f>IF(AND('Mapa final'!$I$10="Alta",'Mapa final'!$M$10="Leve"),CONCATENATE("R",'Mapa final'!$A$10),"")</f>
        <v/>
      </c>
      <c r="K14" s="310"/>
      <c r="L14" s="310" t="str">
        <f>IF(AND('Mapa final'!$I$13="Alta",'Mapa final'!$M$13="Leve"),CONCATENATE("R",'Mapa final'!$A$13),"")</f>
        <v/>
      </c>
      <c r="M14" s="310"/>
      <c r="N14" s="310" t="str">
        <f>IF(AND('Mapa final'!$I$16="Alta",'Mapa final'!$M$16="Leve"),CONCATENATE("R",'Mapa final'!$A$16),"")</f>
        <v/>
      </c>
      <c r="O14" s="311"/>
      <c r="P14" s="309" t="str">
        <f>IF(AND('Mapa final'!$I$10="Alta",'Mapa final'!$M$10="Menor"),CONCATENATE("R",'Mapa final'!$A$10),"")</f>
        <v/>
      </c>
      <c r="Q14" s="310"/>
      <c r="R14" s="310" t="str">
        <f>IF(AND('Mapa final'!$I$13="Alta",'Mapa final'!$M$13="Menor"),CONCATENATE("R",'Mapa final'!$A$13),"")</f>
        <v/>
      </c>
      <c r="S14" s="310"/>
      <c r="T14" s="310" t="str">
        <f>IF(AND('Mapa final'!$I$16="Alta",'Mapa final'!$M$16="Menor"),CONCATENATE("R",'Mapa final'!$A$16),"")</f>
        <v/>
      </c>
      <c r="U14" s="311"/>
      <c r="V14" s="285" t="str">
        <f>IF(AND('Mapa final'!$I$10="Alta",'Mapa final'!$M$10="Moderado"),CONCATENATE("R",'Mapa final'!$A$10),"")</f>
        <v/>
      </c>
      <c r="W14" s="286"/>
      <c r="X14" s="286" t="str">
        <f>IF(AND('Mapa final'!$I$13="Alta",'Mapa final'!$M$13="Moderado"),CONCATENATE("R",'Mapa final'!$A$13),"")</f>
        <v/>
      </c>
      <c r="Y14" s="286"/>
      <c r="Z14" s="286" t="str">
        <f>IF(AND('Mapa final'!$I$16="Alta",'Mapa final'!$M$16="Moderado"),CONCATENATE("R",'Mapa final'!$A$16),"")</f>
        <v/>
      </c>
      <c r="AA14" s="288"/>
      <c r="AB14" s="285" t="str">
        <f>IF(AND('Mapa final'!$I$10="Alta",'Mapa final'!$M$10="Mayor"),CONCATENATE("R",'Mapa final'!$A$10),"")</f>
        <v/>
      </c>
      <c r="AC14" s="286"/>
      <c r="AD14" s="286" t="str">
        <f>IF(AND('Mapa final'!$I$13="Alta",'Mapa final'!$M$13="Mayor"),CONCATENATE("R",'Mapa final'!$A$13),"")</f>
        <v/>
      </c>
      <c r="AE14" s="286"/>
      <c r="AF14" s="286" t="str">
        <f>IF(AND('Mapa final'!$I$16="Alta",'Mapa final'!$M$16="Mayor"),CONCATENATE("R",'Mapa final'!$A$16),"")</f>
        <v/>
      </c>
      <c r="AG14" s="288"/>
      <c r="AH14" s="300" t="str">
        <f>IF(AND('Mapa final'!$I$10="Alta",'Mapa final'!$M$10="Catastrófico"),CONCATENATE("R",'Mapa final'!$A$10),"")</f>
        <v/>
      </c>
      <c r="AI14" s="301"/>
      <c r="AJ14" s="301" t="str">
        <f>IF(AND('Mapa final'!$I$13="Alta",'Mapa final'!$M$13="Catastrófico"),CONCATENATE("R",'Mapa final'!$A$13),"")</f>
        <v/>
      </c>
      <c r="AK14" s="301"/>
      <c r="AL14" s="301" t="str">
        <f>IF(AND('Mapa final'!$I$16="Alta",'Mapa final'!$M$16="Catastrófico"),CONCATENATE("R",'Mapa final'!$A$16),"")</f>
        <v/>
      </c>
      <c r="AM14" s="302"/>
      <c r="AN14" s="83"/>
      <c r="AO14" s="247" t="s">
        <v>76</v>
      </c>
      <c r="AP14" s="248"/>
      <c r="AQ14" s="248"/>
      <c r="AR14" s="248"/>
      <c r="AS14" s="248"/>
      <c r="AT14" s="249"/>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236"/>
      <c r="C15" s="236"/>
      <c r="D15" s="237"/>
      <c r="E15" s="277"/>
      <c r="F15" s="278"/>
      <c r="G15" s="278"/>
      <c r="H15" s="278"/>
      <c r="I15" s="278"/>
      <c r="J15" s="303"/>
      <c r="K15" s="304"/>
      <c r="L15" s="304"/>
      <c r="M15" s="304"/>
      <c r="N15" s="304"/>
      <c r="O15" s="305"/>
      <c r="P15" s="303"/>
      <c r="Q15" s="304"/>
      <c r="R15" s="304"/>
      <c r="S15" s="304"/>
      <c r="T15" s="304"/>
      <c r="U15" s="305"/>
      <c r="V15" s="287"/>
      <c r="W15" s="283"/>
      <c r="X15" s="283"/>
      <c r="Y15" s="283"/>
      <c r="Z15" s="283"/>
      <c r="AA15" s="284"/>
      <c r="AB15" s="287"/>
      <c r="AC15" s="283"/>
      <c r="AD15" s="283"/>
      <c r="AE15" s="283"/>
      <c r="AF15" s="283"/>
      <c r="AG15" s="284"/>
      <c r="AH15" s="294"/>
      <c r="AI15" s="295"/>
      <c r="AJ15" s="295"/>
      <c r="AK15" s="295"/>
      <c r="AL15" s="295"/>
      <c r="AM15" s="296"/>
      <c r="AN15" s="83"/>
      <c r="AO15" s="250"/>
      <c r="AP15" s="251"/>
      <c r="AQ15" s="251"/>
      <c r="AR15" s="251"/>
      <c r="AS15" s="251"/>
      <c r="AT15" s="252"/>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236"/>
      <c r="C16" s="236"/>
      <c r="D16" s="237"/>
      <c r="E16" s="277"/>
      <c r="F16" s="278"/>
      <c r="G16" s="278"/>
      <c r="H16" s="278"/>
      <c r="I16" s="278"/>
      <c r="J16" s="303" t="str">
        <f>IF(AND('Mapa final'!$I$19="Alta",'Mapa final'!$M$19="Leve"),CONCATENATE("R",'Mapa final'!$A$19),"")</f>
        <v/>
      </c>
      <c r="K16" s="304"/>
      <c r="L16" s="304" t="e">
        <f>IF(AND('Mapa final'!#REF!="Alta",'Mapa final'!#REF!="Leve"),CONCATENATE("R",'Mapa final'!#REF!),"")</f>
        <v>#REF!</v>
      </c>
      <c r="M16" s="304"/>
      <c r="N16" s="304" t="str">
        <f>IF(AND('Mapa final'!$I$22="Alta",'Mapa final'!$M$22="Leve"),CONCATENATE("R",'Mapa final'!$A$22),"")</f>
        <v/>
      </c>
      <c r="O16" s="305"/>
      <c r="P16" s="303" t="str">
        <f>IF(AND('Mapa final'!$I$19="Alta",'Mapa final'!$M$19="Menor"),CONCATENATE("R",'Mapa final'!$A$19),"")</f>
        <v/>
      </c>
      <c r="Q16" s="304"/>
      <c r="R16" s="304" t="e">
        <f>IF(AND('Mapa final'!#REF!="Alta",'Mapa final'!#REF!="Menor"),CONCATENATE("R",'Mapa final'!#REF!),"")</f>
        <v>#REF!</v>
      </c>
      <c r="S16" s="304"/>
      <c r="T16" s="304" t="str">
        <f>IF(AND('Mapa final'!$I$22="Alta",'Mapa final'!$M$22="Menor"),CONCATENATE("R",'Mapa final'!$A$22),"")</f>
        <v/>
      </c>
      <c r="U16" s="305"/>
      <c r="V16" s="287" t="str">
        <f>IF(AND('Mapa final'!$I$19="Alta",'Mapa final'!$M$19="Moderado"),CONCATENATE("R",'Mapa final'!$A$19),"")</f>
        <v/>
      </c>
      <c r="W16" s="283"/>
      <c r="X16" s="283" t="e">
        <f>IF(AND('Mapa final'!#REF!="Alta",'Mapa final'!#REF!="Moderado"),CONCATENATE("R",'Mapa final'!#REF!),"")</f>
        <v>#REF!</v>
      </c>
      <c r="Y16" s="283"/>
      <c r="Z16" s="283" t="str">
        <f>IF(AND('Mapa final'!$I$22="Alta",'Mapa final'!$M$22="Moderado"),CONCATENATE("R",'Mapa final'!$A$22),"")</f>
        <v/>
      </c>
      <c r="AA16" s="284"/>
      <c r="AB16" s="287" t="str">
        <f>IF(AND('Mapa final'!$I$19="Alta",'Mapa final'!$M$19="Mayor"),CONCATENATE("R",'Mapa final'!$A$19),"")</f>
        <v/>
      </c>
      <c r="AC16" s="283"/>
      <c r="AD16" s="283" t="e">
        <f>IF(AND('Mapa final'!#REF!="Alta",'Mapa final'!#REF!="Mayor"),CONCATENATE("R",'Mapa final'!#REF!),"")</f>
        <v>#REF!</v>
      </c>
      <c r="AE16" s="283"/>
      <c r="AF16" s="283" t="str">
        <f>IF(AND('Mapa final'!$I$22="Alta",'Mapa final'!$M$22="Mayor"),CONCATENATE("R",'Mapa final'!$A$22),"")</f>
        <v/>
      </c>
      <c r="AG16" s="284"/>
      <c r="AH16" s="294" t="str">
        <f>IF(AND('Mapa final'!$I$19="Alta",'Mapa final'!$M$19="Catastrófico"),CONCATENATE("R",'Mapa final'!$A$19),"")</f>
        <v/>
      </c>
      <c r="AI16" s="295"/>
      <c r="AJ16" s="295" t="e">
        <f>IF(AND('Mapa final'!#REF!="Alta",'Mapa final'!#REF!="Catastrófico"),CONCATENATE("R",'Mapa final'!#REF!),"")</f>
        <v>#REF!</v>
      </c>
      <c r="AK16" s="295"/>
      <c r="AL16" s="295" t="str">
        <f>IF(AND('Mapa final'!$I$22="Alta",'Mapa final'!$M$22="Catastrófico"),CONCATENATE("R",'Mapa final'!$A$22),"")</f>
        <v/>
      </c>
      <c r="AM16" s="296"/>
      <c r="AN16" s="83"/>
      <c r="AO16" s="250"/>
      <c r="AP16" s="251"/>
      <c r="AQ16" s="251"/>
      <c r="AR16" s="251"/>
      <c r="AS16" s="251"/>
      <c r="AT16" s="252"/>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236"/>
      <c r="C17" s="236"/>
      <c r="D17" s="237"/>
      <c r="E17" s="277"/>
      <c r="F17" s="278"/>
      <c r="G17" s="278"/>
      <c r="H17" s="278"/>
      <c r="I17" s="278"/>
      <c r="J17" s="303"/>
      <c r="K17" s="304"/>
      <c r="L17" s="304"/>
      <c r="M17" s="304"/>
      <c r="N17" s="304"/>
      <c r="O17" s="305"/>
      <c r="P17" s="303"/>
      <c r="Q17" s="304"/>
      <c r="R17" s="304"/>
      <c r="S17" s="304"/>
      <c r="T17" s="304"/>
      <c r="U17" s="305"/>
      <c r="V17" s="287"/>
      <c r="W17" s="283"/>
      <c r="X17" s="283"/>
      <c r="Y17" s="283"/>
      <c r="Z17" s="283"/>
      <c r="AA17" s="284"/>
      <c r="AB17" s="287"/>
      <c r="AC17" s="283"/>
      <c r="AD17" s="283"/>
      <c r="AE17" s="283"/>
      <c r="AF17" s="283"/>
      <c r="AG17" s="284"/>
      <c r="AH17" s="294"/>
      <c r="AI17" s="295"/>
      <c r="AJ17" s="295"/>
      <c r="AK17" s="295"/>
      <c r="AL17" s="295"/>
      <c r="AM17" s="296"/>
      <c r="AN17" s="83"/>
      <c r="AO17" s="250"/>
      <c r="AP17" s="251"/>
      <c r="AQ17" s="251"/>
      <c r="AR17" s="251"/>
      <c r="AS17" s="251"/>
      <c r="AT17" s="252"/>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236"/>
      <c r="C18" s="236"/>
      <c r="D18" s="237"/>
      <c r="E18" s="277"/>
      <c r="F18" s="278"/>
      <c r="G18" s="278"/>
      <c r="H18" s="278"/>
      <c r="I18" s="278"/>
      <c r="J18" s="303" t="e">
        <f>IF(AND('Mapa final'!#REF!="Alta",'Mapa final'!#REF!="Leve"),CONCATENATE("R",'Mapa final'!#REF!),"")</f>
        <v>#REF!</v>
      </c>
      <c r="K18" s="304"/>
      <c r="L18" s="304" t="e">
        <f>IF(AND('Mapa final'!#REF!="Alta",'Mapa final'!#REF!="Leve"),CONCATENATE("R",'Mapa final'!#REF!),"")</f>
        <v>#REF!</v>
      </c>
      <c r="M18" s="304"/>
      <c r="N18" s="304" t="str">
        <f>IF(AND('Mapa final'!$I$25="Alta",'Mapa final'!$M$25="Leve"),CONCATENATE("R",'Mapa final'!$A$25),"")</f>
        <v/>
      </c>
      <c r="O18" s="305"/>
      <c r="P18" s="303" t="e">
        <f>IF(AND('Mapa final'!#REF!="Alta",'Mapa final'!#REF!="Menor"),CONCATENATE("R",'Mapa final'!#REF!),"")</f>
        <v>#REF!</v>
      </c>
      <c r="Q18" s="304"/>
      <c r="R18" s="304" t="e">
        <f>IF(AND('Mapa final'!#REF!="Alta",'Mapa final'!#REF!="Menor"),CONCATENATE("R",'Mapa final'!#REF!),"")</f>
        <v>#REF!</v>
      </c>
      <c r="S18" s="304"/>
      <c r="T18" s="304" t="str">
        <f>IF(AND('Mapa final'!$I$25="Alta",'Mapa final'!$M$25="Menor"),CONCATENATE("R",'Mapa final'!$A$25),"")</f>
        <v>R6</v>
      </c>
      <c r="U18" s="305"/>
      <c r="V18" s="287" t="e">
        <f>IF(AND('Mapa final'!#REF!="Alta",'Mapa final'!#REF!="Moderado"),CONCATENATE("R",'Mapa final'!#REF!),"")</f>
        <v>#REF!</v>
      </c>
      <c r="W18" s="283"/>
      <c r="X18" s="283" t="e">
        <f>IF(AND('Mapa final'!#REF!="Alta",'Mapa final'!#REF!="Moderado"),CONCATENATE("R",'Mapa final'!#REF!),"")</f>
        <v>#REF!</v>
      </c>
      <c r="Y18" s="283"/>
      <c r="Z18" s="283" t="str">
        <f>IF(AND('Mapa final'!$I$25="Alta",'Mapa final'!$M$25="Moderado"),CONCATENATE("R",'Mapa final'!$A$25),"")</f>
        <v/>
      </c>
      <c r="AA18" s="284"/>
      <c r="AB18" s="287" t="e">
        <f>IF(AND('Mapa final'!#REF!="Alta",'Mapa final'!#REF!="Mayor"),CONCATENATE("R",'Mapa final'!#REF!),"")</f>
        <v>#REF!</v>
      </c>
      <c r="AC18" s="283"/>
      <c r="AD18" s="283" t="e">
        <f>IF(AND('Mapa final'!#REF!="Alta",'Mapa final'!#REF!="Mayor"),CONCATENATE("R",'Mapa final'!#REF!),"")</f>
        <v>#REF!</v>
      </c>
      <c r="AE18" s="283"/>
      <c r="AF18" s="283" t="str">
        <f>IF(AND('Mapa final'!$I$25="Alta",'Mapa final'!$M$25="Mayor"),CONCATENATE("R",'Mapa final'!$A$25),"")</f>
        <v/>
      </c>
      <c r="AG18" s="284"/>
      <c r="AH18" s="294" t="e">
        <f>IF(AND('Mapa final'!#REF!="Alta",'Mapa final'!#REF!="Catastrófico"),CONCATENATE("R",'Mapa final'!#REF!),"")</f>
        <v>#REF!</v>
      </c>
      <c r="AI18" s="295"/>
      <c r="AJ18" s="295" t="e">
        <f>IF(AND('Mapa final'!#REF!="Alta",'Mapa final'!#REF!="Catastrófico"),CONCATENATE("R",'Mapa final'!#REF!),"")</f>
        <v>#REF!</v>
      </c>
      <c r="AK18" s="295"/>
      <c r="AL18" s="295" t="str">
        <f>IF(AND('Mapa final'!$I$25="Alta",'Mapa final'!$M$25="Catastrófico"),CONCATENATE("R",'Mapa final'!$A$25),"")</f>
        <v/>
      </c>
      <c r="AM18" s="296"/>
      <c r="AN18" s="83"/>
      <c r="AO18" s="250"/>
      <c r="AP18" s="251"/>
      <c r="AQ18" s="251"/>
      <c r="AR18" s="251"/>
      <c r="AS18" s="251"/>
      <c r="AT18" s="252"/>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236"/>
      <c r="C19" s="236"/>
      <c r="D19" s="237"/>
      <c r="E19" s="277"/>
      <c r="F19" s="278"/>
      <c r="G19" s="278"/>
      <c r="H19" s="278"/>
      <c r="I19" s="278"/>
      <c r="J19" s="303"/>
      <c r="K19" s="304"/>
      <c r="L19" s="304"/>
      <c r="M19" s="304"/>
      <c r="N19" s="304"/>
      <c r="O19" s="305"/>
      <c r="P19" s="303"/>
      <c r="Q19" s="304"/>
      <c r="R19" s="304"/>
      <c r="S19" s="304"/>
      <c r="T19" s="304"/>
      <c r="U19" s="305"/>
      <c r="V19" s="287"/>
      <c r="W19" s="283"/>
      <c r="X19" s="283"/>
      <c r="Y19" s="283"/>
      <c r="Z19" s="283"/>
      <c r="AA19" s="284"/>
      <c r="AB19" s="287"/>
      <c r="AC19" s="283"/>
      <c r="AD19" s="283"/>
      <c r="AE19" s="283"/>
      <c r="AF19" s="283"/>
      <c r="AG19" s="284"/>
      <c r="AH19" s="294"/>
      <c r="AI19" s="295"/>
      <c r="AJ19" s="295"/>
      <c r="AK19" s="295"/>
      <c r="AL19" s="295"/>
      <c r="AM19" s="296"/>
      <c r="AN19" s="83"/>
      <c r="AO19" s="250"/>
      <c r="AP19" s="251"/>
      <c r="AQ19" s="251"/>
      <c r="AR19" s="251"/>
      <c r="AS19" s="251"/>
      <c r="AT19" s="252"/>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236"/>
      <c r="C20" s="236"/>
      <c r="D20" s="237"/>
      <c r="E20" s="277"/>
      <c r="F20" s="278"/>
      <c r="G20" s="278"/>
      <c r="H20" s="278"/>
      <c r="I20" s="278"/>
      <c r="J20" s="303" t="str">
        <f>IF(AND('Mapa final'!$I$28="Alta",'Mapa final'!$M$28="Leve"),CONCATENATE("R",'Mapa final'!$A$28),"")</f>
        <v/>
      </c>
      <c r="K20" s="304"/>
      <c r="L20" s="304" t="str">
        <f>IF(AND('Mapa final'!$I$31="Alta",'Mapa final'!$M$31="Leve"),CONCATENATE("R",'Mapa final'!$A$31),"")</f>
        <v/>
      </c>
      <c r="M20" s="304"/>
      <c r="N20" s="304" t="str">
        <f>IF(AND('Mapa final'!$I$37="Alta",'Mapa final'!$M$37="Leve"),CONCATENATE("R",'Mapa final'!$A$37),"")</f>
        <v/>
      </c>
      <c r="O20" s="305"/>
      <c r="P20" s="303" t="str">
        <f>IF(AND('Mapa final'!$I$28="Alta",'Mapa final'!$M$28="Menor"),CONCATENATE("R",'Mapa final'!$A$28),"")</f>
        <v/>
      </c>
      <c r="Q20" s="304"/>
      <c r="R20" s="304" t="str">
        <f>IF(AND('Mapa final'!$I$31="Alta",'Mapa final'!$M$31="Menor"),CONCATENATE("R",'Mapa final'!$A$31),"")</f>
        <v/>
      </c>
      <c r="S20" s="304"/>
      <c r="T20" s="304" t="str">
        <f>IF(AND('Mapa final'!$I$37="Alta",'Mapa final'!$M$37="Menor"),CONCATENATE("R",'Mapa final'!$A$37),"")</f>
        <v/>
      </c>
      <c r="U20" s="305"/>
      <c r="V20" s="287" t="str">
        <f>IF(AND('Mapa final'!$I$28="Alta",'Mapa final'!$M$28="Moderado"),CONCATENATE("R",'Mapa final'!$A$28),"")</f>
        <v/>
      </c>
      <c r="W20" s="283"/>
      <c r="X20" s="283" t="str">
        <f>IF(AND('Mapa final'!$I$31="Alta",'Mapa final'!$M$31="Moderado"),CONCATENATE("R",'Mapa final'!$A$31),"")</f>
        <v/>
      </c>
      <c r="Y20" s="283"/>
      <c r="Z20" s="283" t="str">
        <f>IF(AND('Mapa final'!$I$37="Alta",'Mapa final'!$M$37="Moderado"),CONCATENATE("R",'Mapa final'!$A$37),"")</f>
        <v/>
      </c>
      <c r="AA20" s="284"/>
      <c r="AB20" s="287" t="str">
        <f>IF(AND('Mapa final'!$I$28="Alta",'Mapa final'!$M$28="Mayor"),CONCATENATE("R",'Mapa final'!$A$28),"")</f>
        <v/>
      </c>
      <c r="AC20" s="283"/>
      <c r="AD20" s="283" t="str">
        <f>IF(AND('Mapa final'!$I$31="Alta",'Mapa final'!$M$31="Mayor"),CONCATENATE("R",'Mapa final'!$A$31),"")</f>
        <v/>
      </c>
      <c r="AE20" s="283"/>
      <c r="AF20" s="283" t="str">
        <f>IF(AND('Mapa final'!$I$37="Alta",'Mapa final'!$M$37="Mayor"),CONCATENATE("R",'Mapa final'!$A$37),"")</f>
        <v/>
      </c>
      <c r="AG20" s="284"/>
      <c r="AH20" s="294" t="str">
        <f>IF(AND('Mapa final'!$I$28="Alta",'Mapa final'!$M$28="Catastrófico"),CONCATENATE("R",'Mapa final'!$A$28),"")</f>
        <v/>
      </c>
      <c r="AI20" s="295"/>
      <c r="AJ20" s="295" t="str">
        <f>IF(AND('Mapa final'!$I$31="Alta",'Mapa final'!$M$31="Catastrófico"),CONCATENATE("R",'Mapa final'!$A$31),"")</f>
        <v/>
      </c>
      <c r="AK20" s="295"/>
      <c r="AL20" s="295" t="str">
        <f>IF(AND('Mapa final'!$I$37="Alta",'Mapa final'!$M$37="Catastrófico"),CONCATENATE("R",'Mapa final'!$A$37),"")</f>
        <v/>
      </c>
      <c r="AM20" s="296"/>
      <c r="AN20" s="83"/>
      <c r="AO20" s="250"/>
      <c r="AP20" s="251"/>
      <c r="AQ20" s="251"/>
      <c r="AR20" s="251"/>
      <c r="AS20" s="251"/>
      <c r="AT20" s="252"/>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236"/>
      <c r="C21" s="236"/>
      <c r="D21" s="237"/>
      <c r="E21" s="280"/>
      <c r="F21" s="281"/>
      <c r="G21" s="281"/>
      <c r="H21" s="281"/>
      <c r="I21" s="281"/>
      <c r="J21" s="306"/>
      <c r="K21" s="307"/>
      <c r="L21" s="307"/>
      <c r="M21" s="307"/>
      <c r="N21" s="307"/>
      <c r="O21" s="308"/>
      <c r="P21" s="306"/>
      <c r="Q21" s="307"/>
      <c r="R21" s="307"/>
      <c r="S21" s="307"/>
      <c r="T21" s="307"/>
      <c r="U21" s="308"/>
      <c r="V21" s="291"/>
      <c r="W21" s="292"/>
      <c r="X21" s="292"/>
      <c r="Y21" s="292"/>
      <c r="Z21" s="292"/>
      <c r="AA21" s="293"/>
      <c r="AB21" s="291"/>
      <c r="AC21" s="292"/>
      <c r="AD21" s="292"/>
      <c r="AE21" s="292"/>
      <c r="AF21" s="292"/>
      <c r="AG21" s="293"/>
      <c r="AH21" s="297"/>
      <c r="AI21" s="298"/>
      <c r="AJ21" s="298"/>
      <c r="AK21" s="298"/>
      <c r="AL21" s="298"/>
      <c r="AM21" s="299"/>
      <c r="AN21" s="83"/>
      <c r="AO21" s="253"/>
      <c r="AP21" s="254"/>
      <c r="AQ21" s="254"/>
      <c r="AR21" s="254"/>
      <c r="AS21" s="254"/>
      <c r="AT21" s="255"/>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236"/>
      <c r="C22" s="236"/>
      <c r="D22" s="237"/>
      <c r="E22" s="274" t="s">
        <v>113</v>
      </c>
      <c r="F22" s="275"/>
      <c r="G22" s="275"/>
      <c r="H22" s="275"/>
      <c r="I22" s="276"/>
      <c r="J22" s="309" t="str">
        <f>IF(AND('Mapa final'!$I$10="Media",'Mapa final'!$M$10="Leve"),CONCATENATE("R",'Mapa final'!$A$10),"")</f>
        <v/>
      </c>
      <c r="K22" s="310"/>
      <c r="L22" s="310" t="str">
        <f>IF(AND('Mapa final'!$I$13="Media",'Mapa final'!$M$13="Leve"),CONCATENATE("R",'Mapa final'!$A$13),"")</f>
        <v/>
      </c>
      <c r="M22" s="310"/>
      <c r="N22" s="310" t="str">
        <f>IF(AND('Mapa final'!$I$16="Media",'Mapa final'!$M$16="Leve"),CONCATENATE("R",'Mapa final'!$A$16),"")</f>
        <v/>
      </c>
      <c r="O22" s="311"/>
      <c r="P22" s="309" t="str">
        <f>IF(AND('Mapa final'!$I$10="Media",'Mapa final'!$M$10="Menor"),CONCATENATE("R",'Mapa final'!$A$10),"")</f>
        <v/>
      </c>
      <c r="Q22" s="310"/>
      <c r="R22" s="310" t="str">
        <f>IF(AND('Mapa final'!$I$13="Media",'Mapa final'!$M$13="Menor"),CONCATENATE("R",'Mapa final'!$A$13),"")</f>
        <v/>
      </c>
      <c r="S22" s="310"/>
      <c r="T22" s="310" t="str">
        <f>IF(AND('Mapa final'!$I$16="Media",'Mapa final'!$M$16="Menor"),CONCATENATE("R",'Mapa final'!$A$16),"")</f>
        <v/>
      </c>
      <c r="U22" s="311"/>
      <c r="V22" s="309" t="str">
        <f>IF(AND('Mapa final'!$I$10="Media",'Mapa final'!$M$10="Moderado"),CONCATENATE("R",'Mapa final'!$A$10),"")</f>
        <v/>
      </c>
      <c r="W22" s="310"/>
      <c r="X22" s="310" t="str">
        <f>IF(AND('Mapa final'!$I$13="Media",'Mapa final'!$M$13="Moderado"),CONCATENATE("R",'Mapa final'!$A$13),"")</f>
        <v>R2</v>
      </c>
      <c r="Y22" s="310"/>
      <c r="Z22" s="310" t="str">
        <f>IF(AND('Mapa final'!$I$16="Media",'Mapa final'!$M$16="Moderado"),CONCATENATE("R",'Mapa final'!$A$16),"")</f>
        <v/>
      </c>
      <c r="AA22" s="311"/>
      <c r="AB22" s="285" t="str">
        <f>IF(AND('Mapa final'!$I$10="Media",'Mapa final'!$M$10="Mayor"),CONCATENATE("R",'Mapa final'!$A$10),"")</f>
        <v/>
      </c>
      <c r="AC22" s="286"/>
      <c r="AD22" s="286" t="str">
        <f>IF(AND('Mapa final'!$I$13="Media",'Mapa final'!$M$13="Mayor"),CONCATENATE("R",'Mapa final'!$A$13),"")</f>
        <v/>
      </c>
      <c r="AE22" s="286"/>
      <c r="AF22" s="286" t="str">
        <f>IF(AND('Mapa final'!$I$16="Media",'Mapa final'!$M$16="Mayor"),CONCATENATE("R",'Mapa final'!$A$16),"")</f>
        <v/>
      </c>
      <c r="AG22" s="288"/>
      <c r="AH22" s="300" t="str">
        <f>IF(AND('Mapa final'!$I$10="Media",'Mapa final'!$M$10="Catastrófico"),CONCATENATE("R",'Mapa final'!$A$10),"")</f>
        <v/>
      </c>
      <c r="AI22" s="301"/>
      <c r="AJ22" s="301" t="str">
        <f>IF(AND('Mapa final'!$I$13="Media",'Mapa final'!$M$13="Catastrófico"),CONCATENATE("R",'Mapa final'!$A$13),"")</f>
        <v/>
      </c>
      <c r="AK22" s="301"/>
      <c r="AL22" s="301" t="str">
        <f>IF(AND('Mapa final'!$I$16="Media",'Mapa final'!$M$16="Catastrófico"),CONCATENATE("R",'Mapa final'!$A$16),"")</f>
        <v/>
      </c>
      <c r="AM22" s="302"/>
      <c r="AN22" s="83"/>
      <c r="AO22" s="256" t="s">
        <v>77</v>
      </c>
      <c r="AP22" s="257"/>
      <c r="AQ22" s="257"/>
      <c r="AR22" s="257"/>
      <c r="AS22" s="257"/>
      <c r="AT22" s="258"/>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236"/>
      <c r="C23" s="236"/>
      <c r="D23" s="237"/>
      <c r="E23" s="277"/>
      <c r="F23" s="278"/>
      <c r="G23" s="278"/>
      <c r="H23" s="278"/>
      <c r="I23" s="279"/>
      <c r="J23" s="303"/>
      <c r="K23" s="304"/>
      <c r="L23" s="304"/>
      <c r="M23" s="304"/>
      <c r="N23" s="304"/>
      <c r="O23" s="305"/>
      <c r="P23" s="303"/>
      <c r="Q23" s="304"/>
      <c r="R23" s="304"/>
      <c r="S23" s="304"/>
      <c r="T23" s="304"/>
      <c r="U23" s="305"/>
      <c r="V23" s="303"/>
      <c r="W23" s="304"/>
      <c r="X23" s="304"/>
      <c r="Y23" s="304"/>
      <c r="Z23" s="304"/>
      <c r="AA23" s="305"/>
      <c r="AB23" s="287"/>
      <c r="AC23" s="283"/>
      <c r="AD23" s="283"/>
      <c r="AE23" s="283"/>
      <c r="AF23" s="283"/>
      <c r="AG23" s="284"/>
      <c r="AH23" s="294"/>
      <c r="AI23" s="295"/>
      <c r="AJ23" s="295"/>
      <c r="AK23" s="295"/>
      <c r="AL23" s="295"/>
      <c r="AM23" s="296"/>
      <c r="AN23" s="83"/>
      <c r="AO23" s="259"/>
      <c r="AP23" s="260"/>
      <c r="AQ23" s="260"/>
      <c r="AR23" s="260"/>
      <c r="AS23" s="260"/>
      <c r="AT23" s="261"/>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236"/>
      <c r="C24" s="236"/>
      <c r="D24" s="237"/>
      <c r="E24" s="277"/>
      <c r="F24" s="278"/>
      <c r="G24" s="278"/>
      <c r="H24" s="278"/>
      <c r="I24" s="279"/>
      <c r="J24" s="303" t="str">
        <f>IF(AND('Mapa final'!$I$19="Media",'Mapa final'!$M$19="Leve"),CONCATENATE("R",'Mapa final'!$A$19),"")</f>
        <v/>
      </c>
      <c r="K24" s="304"/>
      <c r="L24" s="304" t="e">
        <f>IF(AND('Mapa final'!#REF!="Media",'Mapa final'!#REF!="Leve"),CONCATENATE("R",'Mapa final'!#REF!),"")</f>
        <v>#REF!</v>
      </c>
      <c r="M24" s="304"/>
      <c r="N24" s="304" t="str">
        <f>IF(AND('Mapa final'!$I$22="Media",'Mapa final'!$M$22="Leve"),CONCATENATE("R",'Mapa final'!$A$22),"")</f>
        <v/>
      </c>
      <c r="O24" s="305"/>
      <c r="P24" s="303" t="str">
        <f>IF(AND('Mapa final'!$I$19="Media",'Mapa final'!$M$19="Menor"),CONCATENATE("R",'Mapa final'!$A$19),"")</f>
        <v/>
      </c>
      <c r="Q24" s="304"/>
      <c r="R24" s="304" t="e">
        <f>IF(AND('Mapa final'!#REF!="Media",'Mapa final'!#REF!="Menor"),CONCATENATE("R",'Mapa final'!#REF!),"")</f>
        <v>#REF!</v>
      </c>
      <c r="S24" s="304"/>
      <c r="T24" s="304" t="str">
        <f>IF(AND('Mapa final'!$I$22="Media",'Mapa final'!$M$22="Menor"),CONCATENATE("R",'Mapa final'!$A$22),"")</f>
        <v>R5</v>
      </c>
      <c r="U24" s="305"/>
      <c r="V24" s="303" t="str">
        <f>IF(AND('Mapa final'!$I$19="Media",'Mapa final'!$M$19="Moderado"),CONCATENATE("R",'Mapa final'!$A$19),"")</f>
        <v>R4</v>
      </c>
      <c r="W24" s="304"/>
      <c r="X24" s="304" t="e">
        <f>IF(AND('Mapa final'!#REF!="Media",'Mapa final'!#REF!="Moderado"),CONCATENATE("R",'Mapa final'!#REF!),"")</f>
        <v>#REF!</v>
      </c>
      <c r="Y24" s="304"/>
      <c r="Z24" s="304" t="str">
        <f>IF(AND('Mapa final'!$I$22="Media",'Mapa final'!$M$22="Moderado"),CONCATENATE("R",'Mapa final'!$A$22),"")</f>
        <v/>
      </c>
      <c r="AA24" s="305"/>
      <c r="AB24" s="287" t="str">
        <f>IF(AND('Mapa final'!$I$19="Media",'Mapa final'!$M$19="Mayor"),CONCATENATE("R",'Mapa final'!$A$19),"")</f>
        <v/>
      </c>
      <c r="AC24" s="283"/>
      <c r="AD24" s="283" t="e">
        <f>IF(AND('Mapa final'!#REF!="Media",'Mapa final'!#REF!="Mayor"),CONCATENATE("R",'Mapa final'!#REF!),"")</f>
        <v>#REF!</v>
      </c>
      <c r="AE24" s="283"/>
      <c r="AF24" s="283" t="str">
        <f>IF(AND('Mapa final'!$I$22="Media",'Mapa final'!$M$22="Mayor"),CONCATENATE("R",'Mapa final'!$A$22),"")</f>
        <v/>
      </c>
      <c r="AG24" s="284"/>
      <c r="AH24" s="294" t="str">
        <f>IF(AND('Mapa final'!$I$19="Media",'Mapa final'!$M$19="Catastrófico"),CONCATENATE("R",'Mapa final'!$A$19),"")</f>
        <v/>
      </c>
      <c r="AI24" s="295"/>
      <c r="AJ24" s="295" t="e">
        <f>IF(AND('Mapa final'!#REF!="Media",'Mapa final'!#REF!="Catastrófico"),CONCATENATE("R",'Mapa final'!#REF!),"")</f>
        <v>#REF!</v>
      </c>
      <c r="AK24" s="295"/>
      <c r="AL24" s="295" t="str">
        <f>IF(AND('Mapa final'!$I$22="Media",'Mapa final'!$M$22="Catastrófico"),CONCATENATE("R",'Mapa final'!$A$22),"")</f>
        <v/>
      </c>
      <c r="AM24" s="296"/>
      <c r="AN24" s="83"/>
      <c r="AO24" s="259"/>
      <c r="AP24" s="260"/>
      <c r="AQ24" s="260"/>
      <c r="AR24" s="260"/>
      <c r="AS24" s="260"/>
      <c r="AT24" s="261"/>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236"/>
      <c r="C25" s="236"/>
      <c r="D25" s="237"/>
      <c r="E25" s="277"/>
      <c r="F25" s="278"/>
      <c r="G25" s="278"/>
      <c r="H25" s="278"/>
      <c r="I25" s="279"/>
      <c r="J25" s="303"/>
      <c r="K25" s="304"/>
      <c r="L25" s="304"/>
      <c r="M25" s="304"/>
      <c r="N25" s="304"/>
      <c r="O25" s="305"/>
      <c r="P25" s="303"/>
      <c r="Q25" s="304"/>
      <c r="R25" s="304"/>
      <c r="S25" s="304"/>
      <c r="T25" s="304"/>
      <c r="U25" s="305"/>
      <c r="V25" s="303"/>
      <c r="W25" s="304"/>
      <c r="X25" s="304"/>
      <c r="Y25" s="304"/>
      <c r="Z25" s="304"/>
      <c r="AA25" s="305"/>
      <c r="AB25" s="287"/>
      <c r="AC25" s="283"/>
      <c r="AD25" s="283"/>
      <c r="AE25" s="283"/>
      <c r="AF25" s="283"/>
      <c r="AG25" s="284"/>
      <c r="AH25" s="294"/>
      <c r="AI25" s="295"/>
      <c r="AJ25" s="295"/>
      <c r="AK25" s="295"/>
      <c r="AL25" s="295"/>
      <c r="AM25" s="296"/>
      <c r="AN25" s="83"/>
      <c r="AO25" s="259"/>
      <c r="AP25" s="260"/>
      <c r="AQ25" s="260"/>
      <c r="AR25" s="260"/>
      <c r="AS25" s="260"/>
      <c r="AT25" s="261"/>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236"/>
      <c r="C26" s="236"/>
      <c r="D26" s="237"/>
      <c r="E26" s="277"/>
      <c r="F26" s="278"/>
      <c r="G26" s="278"/>
      <c r="H26" s="278"/>
      <c r="I26" s="279"/>
      <c r="J26" s="303" t="e">
        <f>IF(AND('Mapa final'!#REF!="Media",'Mapa final'!#REF!="Leve"),CONCATENATE("R",'Mapa final'!#REF!),"")</f>
        <v>#REF!</v>
      </c>
      <c r="K26" s="304"/>
      <c r="L26" s="304" t="e">
        <f>IF(AND('Mapa final'!#REF!="Media",'Mapa final'!#REF!="Leve"),CONCATENATE("R",'Mapa final'!#REF!),"")</f>
        <v>#REF!</v>
      </c>
      <c r="M26" s="304"/>
      <c r="N26" s="304" t="str">
        <f>IF(AND('Mapa final'!$I$25="Media",'Mapa final'!$M$25="Leve"),CONCATENATE("R",'Mapa final'!$A$25),"")</f>
        <v/>
      </c>
      <c r="O26" s="305"/>
      <c r="P26" s="303" t="e">
        <f>IF(AND('Mapa final'!#REF!="Media",'Mapa final'!#REF!="Menor"),CONCATENATE("R",'Mapa final'!#REF!),"")</f>
        <v>#REF!</v>
      </c>
      <c r="Q26" s="304"/>
      <c r="R26" s="304" t="e">
        <f>IF(AND('Mapa final'!#REF!="Media",'Mapa final'!#REF!="Menor"),CONCATENATE("R",'Mapa final'!#REF!),"")</f>
        <v>#REF!</v>
      </c>
      <c r="S26" s="304"/>
      <c r="T26" s="304" t="str">
        <f>IF(AND('Mapa final'!$I$25="Media",'Mapa final'!$M$25="Menor"),CONCATENATE("R",'Mapa final'!$A$25),"")</f>
        <v/>
      </c>
      <c r="U26" s="305"/>
      <c r="V26" s="303" t="e">
        <f>IF(AND('Mapa final'!#REF!="Media",'Mapa final'!#REF!="Moderado"),CONCATENATE("R",'Mapa final'!#REF!),"")</f>
        <v>#REF!</v>
      </c>
      <c r="W26" s="304"/>
      <c r="X26" s="304" t="e">
        <f>IF(AND('Mapa final'!#REF!="Media",'Mapa final'!#REF!="Moderado"),CONCATENATE("R",'Mapa final'!#REF!),"")</f>
        <v>#REF!</v>
      </c>
      <c r="Y26" s="304"/>
      <c r="Z26" s="304" t="str">
        <f>IF(AND('Mapa final'!$I$25="Media",'Mapa final'!$M$25="Moderado"),CONCATENATE("R",'Mapa final'!$A$25),"")</f>
        <v/>
      </c>
      <c r="AA26" s="305"/>
      <c r="AB26" s="287" t="e">
        <f>IF(AND('Mapa final'!#REF!="Media",'Mapa final'!#REF!="Mayor"),CONCATENATE("R",'Mapa final'!#REF!),"")</f>
        <v>#REF!</v>
      </c>
      <c r="AC26" s="283"/>
      <c r="AD26" s="283" t="e">
        <f>IF(AND('Mapa final'!#REF!="Media",'Mapa final'!#REF!="Mayor"),CONCATENATE("R",'Mapa final'!#REF!),"")</f>
        <v>#REF!</v>
      </c>
      <c r="AE26" s="283"/>
      <c r="AF26" s="283" t="str">
        <f>IF(AND('Mapa final'!$I$25="Media",'Mapa final'!$M$25="Mayor"),CONCATENATE("R",'Mapa final'!$A$25),"")</f>
        <v/>
      </c>
      <c r="AG26" s="284"/>
      <c r="AH26" s="294" t="e">
        <f>IF(AND('Mapa final'!#REF!="Media",'Mapa final'!#REF!="Catastrófico"),CONCATENATE("R",'Mapa final'!#REF!),"")</f>
        <v>#REF!</v>
      </c>
      <c r="AI26" s="295"/>
      <c r="AJ26" s="295" t="e">
        <f>IF(AND('Mapa final'!#REF!="Media",'Mapa final'!#REF!="Catastrófico"),CONCATENATE("R",'Mapa final'!#REF!),"")</f>
        <v>#REF!</v>
      </c>
      <c r="AK26" s="295"/>
      <c r="AL26" s="295" t="str">
        <f>IF(AND('Mapa final'!$I$25="Media",'Mapa final'!$M$25="Catastrófico"),CONCATENATE("R",'Mapa final'!$A$25),"")</f>
        <v/>
      </c>
      <c r="AM26" s="296"/>
      <c r="AN26" s="83"/>
      <c r="AO26" s="259"/>
      <c r="AP26" s="260"/>
      <c r="AQ26" s="260"/>
      <c r="AR26" s="260"/>
      <c r="AS26" s="260"/>
      <c r="AT26" s="261"/>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236"/>
      <c r="C27" s="236"/>
      <c r="D27" s="237"/>
      <c r="E27" s="277"/>
      <c r="F27" s="278"/>
      <c r="G27" s="278"/>
      <c r="H27" s="278"/>
      <c r="I27" s="279"/>
      <c r="J27" s="303"/>
      <c r="K27" s="304"/>
      <c r="L27" s="304"/>
      <c r="M27" s="304"/>
      <c r="N27" s="304"/>
      <c r="O27" s="305"/>
      <c r="P27" s="303"/>
      <c r="Q27" s="304"/>
      <c r="R27" s="304"/>
      <c r="S27" s="304"/>
      <c r="T27" s="304"/>
      <c r="U27" s="305"/>
      <c r="V27" s="303"/>
      <c r="W27" s="304"/>
      <c r="X27" s="304"/>
      <c r="Y27" s="304"/>
      <c r="Z27" s="304"/>
      <c r="AA27" s="305"/>
      <c r="AB27" s="287"/>
      <c r="AC27" s="283"/>
      <c r="AD27" s="283"/>
      <c r="AE27" s="283"/>
      <c r="AF27" s="283"/>
      <c r="AG27" s="284"/>
      <c r="AH27" s="294"/>
      <c r="AI27" s="295"/>
      <c r="AJ27" s="295"/>
      <c r="AK27" s="295"/>
      <c r="AL27" s="295"/>
      <c r="AM27" s="296"/>
      <c r="AN27" s="83"/>
      <c r="AO27" s="259"/>
      <c r="AP27" s="260"/>
      <c r="AQ27" s="260"/>
      <c r="AR27" s="260"/>
      <c r="AS27" s="260"/>
      <c r="AT27" s="261"/>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236"/>
      <c r="C28" s="236"/>
      <c r="D28" s="237"/>
      <c r="E28" s="277"/>
      <c r="F28" s="278"/>
      <c r="G28" s="278"/>
      <c r="H28" s="278"/>
      <c r="I28" s="279"/>
      <c r="J28" s="303" t="str">
        <f>IF(AND('Mapa final'!$I$28="Media",'Mapa final'!$M$28="Leve"),CONCATENATE("R",'Mapa final'!$A$28),"")</f>
        <v/>
      </c>
      <c r="K28" s="304"/>
      <c r="L28" s="304" t="str">
        <f>IF(AND('Mapa final'!$I$31="Media",'Mapa final'!$M$31="Leve"),CONCATENATE("R",'Mapa final'!$A$31),"")</f>
        <v/>
      </c>
      <c r="M28" s="304"/>
      <c r="N28" s="304" t="str">
        <f>IF(AND('Mapa final'!$I$37="Media",'Mapa final'!$M$37="Leve"),CONCATENATE("R",'Mapa final'!$A$37),"")</f>
        <v/>
      </c>
      <c r="O28" s="305"/>
      <c r="P28" s="303" t="str">
        <f>IF(AND('Mapa final'!$I$28="Media",'Mapa final'!$M$28="Menor"),CONCATENATE("R",'Mapa final'!$A$28),"")</f>
        <v/>
      </c>
      <c r="Q28" s="304"/>
      <c r="R28" s="304" t="str">
        <f>IF(AND('Mapa final'!$I$31="Media",'Mapa final'!$M$31="Menor"),CONCATENATE("R",'Mapa final'!$A$31),"")</f>
        <v/>
      </c>
      <c r="S28" s="304"/>
      <c r="T28" s="304" t="str">
        <f>IF(AND('Mapa final'!$I$37="Media",'Mapa final'!$M$37="Menor"),CONCATENATE("R",'Mapa final'!$A$37),"")</f>
        <v/>
      </c>
      <c r="U28" s="305"/>
      <c r="V28" s="303" t="str">
        <f>IF(AND('Mapa final'!$I$28="Media",'Mapa final'!$M$28="Moderado"),CONCATENATE("R",'Mapa final'!$A$28),"")</f>
        <v/>
      </c>
      <c r="W28" s="304"/>
      <c r="X28" s="304" t="str">
        <f>IF(AND('Mapa final'!$I$31="Media",'Mapa final'!$M$31="Moderado"),CONCATENATE("R",'Mapa final'!$A$31),"")</f>
        <v/>
      </c>
      <c r="Y28" s="304"/>
      <c r="Z28" s="304" t="str">
        <f>IF(AND('Mapa final'!$I$37="Media",'Mapa final'!$M$37="Moderado"),CONCATENATE("R",'Mapa final'!$A$37),"")</f>
        <v/>
      </c>
      <c r="AA28" s="305"/>
      <c r="AB28" s="287" t="str">
        <f>IF(AND('Mapa final'!$I$28="Media",'Mapa final'!$M$28="Mayor"),CONCATENATE("R",'Mapa final'!$A$28),"")</f>
        <v/>
      </c>
      <c r="AC28" s="283"/>
      <c r="AD28" s="283" t="str">
        <f>IF(AND('Mapa final'!$I$31="Media",'Mapa final'!$M$31="Mayor"),CONCATENATE("R",'Mapa final'!$A$31),"")</f>
        <v/>
      </c>
      <c r="AE28" s="283"/>
      <c r="AF28" s="283" t="str">
        <f>IF(AND('Mapa final'!$I$37="Media",'Mapa final'!$M$37="Mayor"),CONCATENATE("R",'Mapa final'!$A$37),"")</f>
        <v/>
      </c>
      <c r="AG28" s="284"/>
      <c r="AH28" s="294" t="str">
        <f>IF(AND('Mapa final'!$I$28="Media",'Mapa final'!$M$28="Catastrófico"),CONCATENATE("R",'Mapa final'!$A$28),"")</f>
        <v/>
      </c>
      <c r="AI28" s="295"/>
      <c r="AJ28" s="295" t="str">
        <f>IF(AND('Mapa final'!$I$31="Media",'Mapa final'!$M$31="Catastrófico"),CONCATENATE("R",'Mapa final'!$A$31),"")</f>
        <v/>
      </c>
      <c r="AK28" s="295"/>
      <c r="AL28" s="295" t="str">
        <f>IF(AND('Mapa final'!$I$37="Media",'Mapa final'!$M$37="Catastrófico"),CONCATENATE("R",'Mapa final'!$A$37),"")</f>
        <v/>
      </c>
      <c r="AM28" s="296"/>
      <c r="AN28" s="83"/>
      <c r="AO28" s="259"/>
      <c r="AP28" s="260"/>
      <c r="AQ28" s="260"/>
      <c r="AR28" s="260"/>
      <c r="AS28" s="260"/>
      <c r="AT28" s="261"/>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236"/>
      <c r="C29" s="236"/>
      <c r="D29" s="237"/>
      <c r="E29" s="280"/>
      <c r="F29" s="281"/>
      <c r="G29" s="281"/>
      <c r="H29" s="281"/>
      <c r="I29" s="282"/>
      <c r="J29" s="303"/>
      <c r="K29" s="304"/>
      <c r="L29" s="304"/>
      <c r="M29" s="304"/>
      <c r="N29" s="304"/>
      <c r="O29" s="305"/>
      <c r="P29" s="306"/>
      <c r="Q29" s="307"/>
      <c r="R29" s="307"/>
      <c r="S29" s="307"/>
      <c r="T29" s="307"/>
      <c r="U29" s="308"/>
      <c r="V29" s="306"/>
      <c r="W29" s="307"/>
      <c r="X29" s="307"/>
      <c r="Y29" s="307"/>
      <c r="Z29" s="307"/>
      <c r="AA29" s="308"/>
      <c r="AB29" s="291"/>
      <c r="AC29" s="292"/>
      <c r="AD29" s="292"/>
      <c r="AE29" s="292"/>
      <c r="AF29" s="292"/>
      <c r="AG29" s="293"/>
      <c r="AH29" s="297"/>
      <c r="AI29" s="298"/>
      <c r="AJ29" s="298"/>
      <c r="AK29" s="298"/>
      <c r="AL29" s="298"/>
      <c r="AM29" s="299"/>
      <c r="AN29" s="83"/>
      <c r="AO29" s="262"/>
      <c r="AP29" s="263"/>
      <c r="AQ29" s="263"/>
      <c r="AR29" s="263"/>
      <c r="AS29" s="263"/>
      <c r="AT29" s="264"/>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236"/>
      <c r="C30" s="236"/>
      <c r="D30" s="237"/>
      <c r="E30" s="274" t="s">
        <v>110</v>
      </c>
      <c r="F30" s="275"/>
      <c r="G30" s="275"/>
      <c r="H30" s="275"/>
      <c r="I30" s="275"/>
      <c r="J30" s="318" t="str">
        <f>IF(AND('Mapa final'!$I$10="Baja",'Mapa final'!$M$10="Leve"),CONCATENATE("R",'Mapa final'!$A$10),"")</f>
        <v/>
      </c>
      <c r="K30" s="319"/>
      <c r="L30" s="319" t="str">
        <f>IF(AND('Mapa final'!$I$13="Baja",'Mapa final'!$M$13="Leve"),CONCATENATE("R",'Mapa final'!$A$13),"")</f>
        <v/>
      </c>
      <c r="M30" s="319"/>
      <c r="N30" s="319" t="str">
        <f>IF(AND('Mapa final'!$I$16="Baja",'Mapa final'!$M$16="Leve"),CONCATENATE("R",'Mapa final'!$A$16),"")</f>
        <v/>
      </c>
      <c r="O30" s="320"/>
      <c r="P30" s="310" t="str">
        <f>IF(AND('Mapa final'!$I$10="Baja",'Mapa final'!$M$10="Menor"),CONCATENATE("R",'Mapa final'!$A$10),"")</f>
        <v/>
      </c>
      <c r="Q30" s="310"/>
      <c r="R30" s="310" t="str">
        <f>IF(AND('Mapa final'!$I$13="Baja",'Mapa final'!$M$13="Menor"),CONCATENATE("R",'Mapa final'!$A$13),"")</f>
        <v/>
      </c>
      <c r="S30" s="310"/>
      <c r="T30" s="310" t="str">
        <f>IF(AND('Mapa final'!$I$16="Baja",'Mapa final'!$M$16="Menor"),CONCATENATE("R",'Mapa final'!$A$16),"")</f>
        <v/>
      </c>
      <c r="U30" s="311"/>
      <c r="V30" s="309" t="str">
        <f>IF(AND('Mapa final'!$I$10="Baja",'Mapa final'!$M$10="Moderado"),CONCATENATE("R",'Mapa final'!$A$10),"")</f>
        <v/>
      </c>
      <c r="W30" s="310"/>
      <c r="X30" s="310" t="str">
        <f>IF(AND('Mapa final'!$I$13="Baja",'Mapa final'!$M$13="Moderado"),CONCATENATE("R",'Mapa final'!$A$13),"")</f>
        <v/>
      </c>
      <c r="Y30" s="310"/>
      <c r="Z30" s="310" t="str">
        <f>IF(AND('Mapa final'!$I$16="Baja",'Mapa final'!$M$16="Moderado"),CONCATENATE("R",'Mapa final'!$A$16),"")</f>
        <v/>
      </c>
      <c r="AA30" s="311"/>
      <c r="AB30" s="285" t="str">
        <f>IF(AND('Mapa final'!$I$10="Baja",'Mapa final'!$M$10="Mayor"),CONCATENATE("R",'Mapa final'!$A$10),"")</f>
        <v/>
      </c>
      <c r="AC30" s="286"/>
      <c r="AD30" s="286" t="str">
        <f>IF(AND('Mapa final'!$I$13="Baja",'Mapa final'!$M$13="Mayor"),CONCATENATE("R",'Mapa final'!$A$13),"")</f>
        <v/>
      </c>
      <c r="AE30" s="286"/>
      <c r="AF30" s="286" t="str">
        <f>IF(AND('Mapa final'!$I$16="Baja",'Mapa final'!$M$16="Mayor"),CONCATENATE("R",'Mapa final'!$A$16),"")</f>
        <v/>
      </c>
      <c r="AG30" s="288"/>
      <c r="AH30" s="300" t="str">
        <f>IF(AND('Mapa final'!$I$10="Baja",'Mapa final'!$M$10="Catastrófico"),CONCATENATE("R",'Mapa final'!$A$10),"")</f>
        <v/>
      </c>
      <c r="AI30" s="301"/>
      <c r="AJ30" s="301" t="str">
        <f>IF(AND('Mapa final'!$I$13="Baja",'Mapa final'!$M$13="Catastrófico"),CONCATENATE("R",'Mapa final'!$A$13),"")</f>
        <v/>
      </c>
      <c r="AK30" s="301"/>
      <c r="AL30" s="301" t="str">
        <f>IF(AND('Mapa final'!$I$16="Baja",'Mapa final'!$M$16="Catastrófico"),CONCATENATE("R",'Mapa final'!$A$16),"")</f>
        <v/>
      </c>
      <c r="AM30" s="302"/>
      <c r="AN30" s="83"/>
      <c r="AO30" s="265" t="s">
        <v>78</v>
      </c>
      <c r="AP30" s="266"/>
      <c r="AQ30" s="266"/>
      <c r="AR30" s="266"/>
      <c r="AS30" s="266"/>
      <c r="AT30" s="267"/>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236"/>
      <c r="C31" s="236"/>
      <c r="D31" s="237"/>
      <c r="E31" s="277"/>
      <c r="F31" s="278"/>
      <c r="G31" s="278"/>
      <c r="H31" s="278"/>
      <c r="I31" s="278"/>
      <c r="J31" s="314"/>
      <c r="K31" s="312"/>
      <c r="L31" s="312"/>
      <c r="M31" s="312"/>
      <c r="N31" s="312"/>
      <c r="O31" s="313"/>
      <c r="P31" s="304"/>
      <c r="Q31" s="304"/>
      <c r="R31" s="304"/>
      <c r="S31" s="304"/>
      <c r="T31" s="304"/>
      <c r="U31" s="305"/>
      <c r="V31" s="303"/>
      <c r="W31" s="304"/>
      <c r="X31" s="304"/>
      <c r="Y31" s="304"/>
      <c r="Z31" s="304"/>
      <c r="AA31" s="305"/>
      <c r="AB31" s="287"/>
      <c r="AC31" s="283"/>
      <c r="AD31" s="283"/>
      <c r="AE31" s="283"/>
      <c r="AF31" s="283"/>
      <c r="AG31" s="284"/>
      <c r="AH31" s="294"/>
      <c r="AI31" s="295"/>
      <c r="AJ31" s="295"/>
      <c r="AK31" s="295"/>
      <c r="AL31" s="295"/>
      <c r="AM31" s="296"/>
      <c r="AN31" s="83"/>
      <c r="AO31" s="268"/>
      <c r="AP31" s="269"/>
      <c r="AQ31" s="269"/>
      <c r="AR31" s="269"/>
      <c r="AS31" s="269"/>
      <c r="AT31" s="270"/>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236"/>
      <c r="C32" s="236"/>
      <c r="D32" s="237"/>
      <c r="E32" s="277"/>
      <c r="F32" s="278"/>
      <c r="G32" s="278"/>
      <c r="H32" s="278"/>
      <c r="I32" s="278"/>
      <c r="J32" s="314" t="str">
        <f>IF(AND('Mapa final'!$I$19="Baja",'Mapa final'!$M$19="Leve"),CONCATENATE("R",'Mapa final'!$A$19),"")</f>
        <v/>
      </c>
      <c r="K32" s="312"/>
      <c r="L32" s="312" t="e">
        <f>IF(AND('Mapa final'!#REF!="Baja",'Mapa final'!#REF!="Leve"),CONCATENATE("R",'Mapa final'!#REF!),"")</f>
        <v>#REF!</v>
      </c>
      <c r="M32" s="312"/>
      <c r="N32" s="312" t="str">
        <f>IF(AND('Mapa final'!$I$22="Baja",'Mapa final'!$M$22="Leve"),CONCATENATE("R",'Mapa final'!$A$22),"")</f>
        <v/>
      </c>
      <c r="O32" s="313"/>
      <c r="P32" s="304" t="str">
        <f>IF(AND('Mapa final'!$I$19="Baja",'Mapa final'!$M$19="Menor"),CONCATENATE("R",'Mapa final'!$A$19),"")</f>
        <v/>
      </c>
      <c r="Q32" s="304"/>
      <c r="R32" s="304" t="e">
        <f>IF(AND('Mapa final'!#REF!="Baja",'Mapa final'!#REF!="Menor"),CONCATENATE("R",'Mapa final'!#REF!),"")</f>
        <v>#REF!</v>
      </c>
      <c r="S32" s="304"/>
      <c r="T32" s="304" t="str">
        <f>IF(AND('Mapa final'!$I$22="Baja",'Mapa final'!$M$22="Menor"),CONCATENATE("R",'Mapa final'!$A$22),"")</f>
        <v/>
      </c>
      <c r="U32" s="305"/>
      <c r="V32" s="303" t="str">
        <f>IF(AND('Mapa final'!$I$19="Baja",'Mapa final'!$M$19="Moderado"),CONCATENATE("R",'Mapa final'!$A$19),"")</f>
        <v/>
      </c>
      <c r="W32" s="304"/>
      <c r="X32" s="304" t="e">
        <f>IF(AND('Mapa final'!#REF!="Baja",'Mapa final'!#REF!="Moderado"),CONCATENATE("R",'Mapa final'!#REF!),"")</f>
        <v>#REF!</v>
      </c>
      <c r="Y32" s="304"/>
      <c r="Z32" s="304" t="str">
        <f>IF(AND('Mapa final'!$I$22="Baja",'Mapa final'!$M$22="Moderado"),CONCATENATE("R",'Mapa final'!$A$22),"")</f>
        <v/>
      </c>
      <c r="AA32" s="305"/>
      <c r="AB32" s="287" t="str">
        <f>IF(AND('Mapa final'!$I$19="Baja",'Mapa final'!$M$19="Mayor"),CONCATENATE("R",'Mapa final'!$A$19),"")</f>
        <v/>
      </c>
      <c r="AC32" s="283"/>
      <c r="AD32" s="283" t="e">
        <f>IF(AND('Mapa final'!#REF!="Baja",'Mapa final'!#REF!="Mayor"),CONCATENATE("R",'Mapa final'!#REF!),"")</f>
        <v>#REF!</v>
      </c>
      <c r="AE32" s="283"/>
      <c r="AF32" s="283" t="str">
        <f>IF(AND('Mapa final'!$I$22="Baja",'Mapa final'!$M$22="Mayor"),CONCATENATE("R",'Mapa final'!$A$22),"")</f>
        <v/>
      </c>
      <c r="AG32" s="284"/>
      <c r="AH32" s="294" t="str">
        <f>IF(AND('Mapa final'!$I$19="Baja",'Mapa final'!$M$19="Catastrófico"),CONCATENATE("R",'Mapa final'!$A$19),"")</f>
        <v/>
      </c>
      <c r="AI32" s="295"/>
      <c r="AJ32" s="295" t="e">
        <f>IF(AND('Mapa final'!#REF!="Baja",'Mapa final'!#REF!="Catastrófico"),CONCATENATE("R",'Mapa final'!#REF!),"")</f>
        <v>#REF!</v>
      </c>
      <c r="AK32" s="295"/>
      <c r="AL32" s="295" t="str">
        <f>IF(AND('Mapa final'!$I$22="Baja",'Mapa final'!$M$22="Catastrófico"),CONCATENATE("R",'Mapa final'!$A$22),"")</f>
        <v/>
      </c>
      <c r="AM32" s="296"/>
      <c r="AN32" s="83"/>
      <c r="AO32" s="268"/>
      <c r="AP32" s="269"/>
      <c r="AQ32" s="269"/>
      <c r="AR32" s="269"/>
      <c r="AS32" s="269"/>
      <c r="AT32" s="270"/>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236"/>
      <c r="C33" s="236"/>
      <c r="D33" s="237"/>
      <c r="E33" s="277"/>
      <c r="F33" s="278"/>
      <c r="G33" s="278"/>
      <c r="H33" s="278"/>
      <c r="I33" s="278"/>
      <c r="J33" s="314"/>
      <c r="K33" s="312"/>
      <c r="L33" s="312"/>
      <c r="M33" s="312"/>
      <c r="N33" s="312"/>
      <c r="O33" s="313"/>
      <c r="P33" s="304"/>
      <c r="Q33" s="304"/>
      <c r="R33" s="304"/>
      <c r="S33" s="304"/>
      <c r="T33" s="304"/>
      <c r="U33" s="305"/>
      <c r="V33" s="303"/>
      <c r="W33" s="304"/>
      <c r="X33" s="304"/>
      <c r="Y33" s="304"/>
      <c r="Z33" s="304"/>
      <c r="AA33" s="305"/>
      <c r="AB33" s="287"/>
      <c r="AC33" s="283"/>
      <c r="AD33" s="283"/>
      <c r="AE33" s="283"/>
      <c r="AF33" s="283"/>
      <c r="AG33" s="284"/>
      <c r="AH33" s="294"/>
      <c r="AI33" s="295"/>
      <c r="AJ33" s="295"/>
      <c r="AK33" s="295"/>
      <c r="AL33" s="295"/>
      <c r="AM33" s="296"/>
      <c r="AN33" s="83"/>
      <c r="AO33" s="268"/>
      <c r="AP33" s="269"/>
      <c r="AQ33" s="269"/>
      <c r="AR33" s="269"/>
      <c r="AS33" s="269"/>
      <c r="AT33" s="270"/>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236"/>
      <c r="C34" s="236"/>
      <c r="D34" s="237"/>
      <c r="E34" s="277"/>
      <c r="F34" s="278"/>
      <c r="G34" s="278"/>
      <c r="H34" s="278"/>
      <c r="I34" s="278"/>
      <c r="J34" s="314" t="e">
        <f>IF(AND('Mapa final'!#REF!="Baja",'Mapa final'!#REF!="Leve"),CONCATENATE("R",'Mapa final'!#REF!),"")</f>
        <v>#REF!</v>
      </c>
      <c r="K34" s="312"/>
      <c r="L34" s="312" t="e">
        <f>IF(AND('Mapa final'!#REF!="Baja",'Mapa final'!#REF!="Leve"),CONCATENATE("R",'Mapa final'!#REF!),"")</f>
        <v>#REF!</v>
      </c>
      <c r="M34" s="312"/>
      <c r="N34" s="312" t="str">
        <f>IF(AND('Mapa final'!$I$25="Baja",'Mapa final'!$M$25="Leve"),CONCATENATE("R",'Mapa final'!$A$25),"")</f>
        <v/>
      </c>
      <c r="O34" s="313"/>
      <c r="P34" s="304" t="e">
        <f>IF(AND('Mapa final'!#REF!="Baja",'Mapa final'!#REF!="Menor"),CONCATENATE("R",'Mapa final'!#REF!),"")</f>
        <v>#REF!</v>
      </c>
      <c r="Q34" s="304"/>
      <c r="R34" s="304" t="e">
        <f>IF(AND('Mapa final'!#REF!="Baja",'Mapa final'!#REF!="Menor"),CONCATENATE("R",'Mapa final'!#REF!),"")</f>
        <v>#REF!</v>
      </c>
      <c r="S34" s="304"/>
      <c r="T34" s="304" t="str">
        <f>IF(AND('Mapa final'!$I$25="Baja",'Mapa final'!$M$25="Menor"),CONCATENATE("R",'Mapa final'!$A$25),"")</f>
        <v/>
      </c>
      <c r="U34" s="305"/>
      <c r="V34" s="303" t="e">
        <f>IF(AND('Mapa final'!#REF!="Baja",'Mapa final'!#REF!="Moderado"),CONCATENATE("R",'Mapa final'!#REF!),"")</f>
        <v>#REF!</v>
      </c>
      <c r="W34" s="304"/>
      <c r="X34" s="304" t="e">
        <f>IF(AND('Mapa final'!#REF!="Baja",'Mapa final'!#REF!="Moderado"),CONCATENATE("R",'Mapa final'!#REF!),"")</f>
        <v>#REF!</v>
      </c>
      <c r="Y34" s="304"/>
      <c r="Z34" s="304" t="str">
        <f>IF(AND('Mapa final'!$I$25="Baja",'Mapa final'!$M$25="Moderado"),CONCATENATE("R",'Mapa final'!$A$25),"")</f>
        <v/>
      </c>
      <c r="AA34" s="305"/>
      <c r="AB34" s="287" t="e">
        <f>IF(AND('Mapa final'!#REF!="Baja",'Mapa final'!#REF!="Mayor"),CONCATENATE("R",'Mapa final'!#REF!),"")</f>
        <v>#REF!</v>
      </c>
      <c r="AC34" s="283"/>
      <c r="AD34" s="283" t="e">
        <f>IF(AND('Mapa final'!#REF!="Baja",'Mapa final'!#REF!="Mayor"),CONCATENATE("R",'Mapa final'!#REF!),"")</f>
        <v>#REF!</v>
      </c>
      <c r="AE34" s="283"/>
      <c r="AF34" s="283" t="str">
        <f>IF(AND('Mapa final'!$I$25="Baja",'Mapa final'!$M$25="Mayor"),CONCATENATE("R",'Mapa final'!$A$25),"")</f>
        <v/>
      </c>
      <c r="AG34" s="284"/>
      <c r="AH34" s="294" t="e">
        <f>IF(AND('Mapa final'!#REF!="Baja",'Mapa final'!#REF!="Catastrófico"),CONCATENATE("R",'Mapa final'!#REF!),"")</f>
        <v>#REF!</v>
      </c>
      <c r="AI34" s="295"/>
      <c r="AJ34" s="295" t="e">
        <f>IF(AND('Mapa final'!#REF!="Baja",'Mapa final'!#REF!="Catastrófico"),CONCATENATE("R",'Mapa final'!#REF!),"")</f>
        <v>#REF!</v>
      </c>
      <c r="AK34" s="295"/>
      <c r="AL34" s="295" t="str">
        <f>IF(AND('Mapa final'!$I$25="Baja",'Mapa final'!$M$25="Catastrófico"),CONCATENATE("R",'Mapa final'!$A$25),"")</f>
        <v/>
      </c>
      <c r="AM34" s="296"/>
      <c r="AN34" s="83"/>
      <c r="AO34" s="268"/>
      <c r="AP34" s="269"/>
      <c r="AQ34" s="269"/>
      <c r="AR34" s="269"/>
      <c r="AS34" s="269"/>
      <c r="AT34" s="270"/>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236"/>
      <c r="C35" s="236"/>
      <c r="D35" s="237"/>
      <c r="E35" s="277"/>
      <c r="F35" s="278"/>
      <c r="G35" s="278"/>
      <c r="H35" s="278"/>
      <c r="I35" s="278"/>
      <c r="J35" s="314"/>
      <c r="K35" s="312"/>
      <c r="L35" s="312"/>
      <c r="M35" s="312"/>
      <c r="N35" s="312"/>
      <c r="O35" s="313"/>
      <c r="P35" s="304"/>
      <c r="Q35" s="304"/>
      <c r="R35" s="304"/>
      <c r="S35" s="304"/>
      <c r="T35" s="304"/>
      <c r="U35" s="305"/>
      <c r="V35" s="303"/>
      <c r="W35" s="304"/>
      <c r="X35" s="304"/>
      <c r="Y35" s="304"/>
      <c r="Z35" s="304"/>
      <c r="AA35" s="305"/>
      <c r="AB35" s="287"/>
      <c r="AC35" s="283"/>
      <c r="AD35" s="283"/>
      <c r="AE35" s="283"/>
      <c r="AF35" s="283"/>
      <c r="AG35" s="284"/>
      <c r="AH35" s="294"/>
      <c r="AI35" s="295"/>
      <c r="AJ35" s="295"/>
      <c r="AK35" s="295"/>
      <c r="AL35" s="295"/>
      <c r="AM35" s="296"/>
      <c r="AN35" s="83"/>
      <c r="AO35" s="268"/>
      <c r="AP35" s="269"/>
      <c r="AQ35" s="269"/>
      <c r="AR35" s="269"/>
      <c r="AS35" s="269"/>
      <c r="AT35" s="270"/>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236"/>
      <c r="C36" s="236"/>
      <c r="D36" s="237"/>
      <c r="E36" s="277"/>
      <c r="F36" s="278"/>
      <c r="G36" s="278"/>
      <c r="H36" s="278"/>
      <c r="I36" s="278"/>
      <c r="J36" s="314" t="str">
        <f>IF(AND('Mapa final'!$I$28="Baja",'Mapa final'!$M$28="Leve"),CONCATENATE("R",'Mapa final'!$A$28),"")</f>
        <v/>
      </c>
      <c r="K36" s="312"/>
      <c r="L36" s="312" t="str">
        <f>IF(AND('Mapa final'!$I$31="Baja",'Mapa final'!$M$31="Leve"),CONCATENATE("R",'Mapa final'!$A$31),"")</f>
        <v/>
      </c>
      <c r="M36" s="312"/>
      <c r="N36" s="312" t="str">
        <f>IF(AND('Mapa final'!$I$37="Baja",'Mapa final'!$M$37="Leve"),CONCATENATE("R",'Mapa final'!$A$37),"")</f>
        <v/>
      </c>
      <c r="O36" s="313"/>
      <c r="P36" s="304" t="str">
        <f>IF(AND('Mapa final'!$I$28="Baja",'Mapa final'!$M$28="Menor"),CONCATENATE("R",'Mapa final'!$A$28),"")</f>
        <v/>
      </c>
      <c r="Q36" s="304"/>
      <c r="R36" s="304" t="str">
        <f>IF(AND('Mapa final'!$I$31="Baja",'Mapa final'!$M$31="Menor"),CONCATENATE("R",'Mapa final'!$A$31),"")</f>
        <v/>
      </c>
      <c r="S36" s="304"/>
      <c r="T36" s="304" t="str">
        <f>IF(AND('Mapa final'!$I$37="Baja",'Mapa final'!$M$37="Menor"),CONCATENATE("R",'Mapa final'!$A$37),"")</f>
        <v/>
      </c>
      <c r="U36" s="305"/>
      <c r="V36" s="303" t="str">
        <f>IF(AND('Mapa final'!$I$28="Baja",'Mapa final'!$M$28="Moderado"),CONCATENATE("R",'Mapa final'!$A$28),"")</f>
        <v/>
      </c>
      <c r="W36" s="304"/>
      <c r="X36" s="304" t="str">
        <f>IF(AND('Mapa final'!$I$31="Baja",'Mapa final'!$M$31="Moderado"),CONCATENATE("R",'Mapa final'!$A$31),"")</f>
        <v/>
      </c>
      <c r="Y36" s="304"/>
      <c r="Z36" s="304" t="str">
        <f>IF(AND('Mapa final'!$I$37="Baja",'Mapa final'!$M$37="Moderado"),CONCATENATE("R",'Mapa final'!$A$37),"")</f>
        <v/>
      </c>
      <c r="AA36" s="305"/>
      <c r="AB36" s="287" t="str">
        <f>IF(AND('Mapa final'!$I$28="Baja",'Mapa final'!$M$28="Mayor"),CONCATENATE("R",'Mapa final'!$A$28),"")</f>
        <v/>
      </c>
      <c r="AC36" s="283"/>
      <c r="AD36" s="283" t="str">
        <f>IF(AND('Mapa final'!$I$31="Baja",'Mapa final'!$M$31="Mayor"),CONCATENATE("R",'Mapa final'!$A$31),"")</f>
        <v/>
      </c>
      <c r="AE36" s="283"/>
      <c r="AF36" s="283" t="str">
        <f>IF(AND('Mapa final'!$I$37="Baja",'Mapa final'!$M$37="Mayor"),CONCATENATE("R",'Mapa final'!$A$37),"")</f>
        <v/>
      </c>
      <c r="AG36" s="284"/>
      <c r="AH36" s="294" t="str">
        <f>IF(AND('Mapa final'!$I$28="Baja",'Mapa final'!$M$28="Catastrófico"),CONCATENATE("R",'Mapa final'!$A$28),"")</f>
        <v/>
      </c>
      <c r="AI36" s="295"/>
      <c r="AJ36" s="295" t="str">
        <f>IF(AND('Mapa final'!$I$31="Baja",'Mapa final'!$M$31="Catastrófico"),CONCATENATE("R",'Mapa final'!$A$31),"")</f>
        <v/>
      </c>
      <c r="AK36" s="295"/>
      <c r="AL36" s="295" t="str">
        <f>IF(AND('Mapa final'!$I$37="Baja",'Mapa final'!$M$37="Catastrófico"),CONCATENATE("R",'Mapa final'!$A$37),"")</f>
        <v/>
      </c>
      <c r="AM36" s="296"/>
      <c r="AN36" s="83"/>
      <c r="AO36" s="268"/>
      <c r="AP36" s="269"/>
      <c r="AQ36" s="269"/>
      <c r="AR36" s="269"/>
      <c r="AS36" s="269"/>
      <c r="AT36" s="270"/>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236"/>
      <c r="C37" s="236"/>
      <c r="D37" s="237"/>
      <c r="E37" s="280"/>
      <c r="F37" s="281"/>
      <c r="G37" s="281"/>
      <c r="H37" s="281"/>
      <c r="I37" s="281"/>
      <c r="J37" s="315"/>
      <c r="K37" s="316"/>
      <c r="L37" s="316"/>
      <c r="M37" s="316"/>
      <c r="N37" s="316"/>
      <c r="O37" s="317"/>
      <c r="P37" s="307"/>
      <c r="Q37" s="307"/>
      <c r="R37" s="307"/>
      <c r="S37" s="307"/>
      <c r="T37" s="307"/>
      <c r="U37" s="308"/>
      <c r="V37" s="306"/>
      <c r="W37" s="307"/>
      <c r="X37" s="307"/>
      <c r="Y37" s="307"/>
      <c r="Z37" s="307"/>
      <c r="AA37" s="308"/>
      <c r="AB37" s="291"/>
      <c r="AC37" s="292"/>
      <c r="AD37" s="292"/>
      <c r="AE37" s="292"/>
      <c r="AF37" s="292"/>
      <c r="AG37" s="293"/>
      <c r="AH37" s="297"/>
      <c r="AI37" s="298"/>
      <c r="AJ37" s="298"/>
      <c r="AK37" s="298"/>
      <c r="AL37" s="298"/>
      <c r="AM37" s="299"/>
      <c r="AN37" s="83"/>
      <c r="AO37" s="271"/>
      <c r="AP37" s="272"/>
      <c r="AQ37" s="272"/>
      <c r="AR37" s="272"/>
      <c r="AS37" s="272"/>
      <c r="AT37" s="27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236"/>
      <c r="C38" s="236"/>
      <c r="D38" s="237"/>
      <c r="E38" s="274" t="s">
        <v>109</v>
      </c>
      <c r="F38" s="275"/>
      <c r="G38" s="275"/>
      <c r="H38" s="275"/>
      <c r="I38" s="276"/>
      <c r="J38" s="318" t="str">
        <f>IF(AND('Mapa final'!$I$10="Muy Baja",'Mapa final'!$M$10="Leve"),CONCATENATE("R",'Mapa final'!$A$10),"")</f>
        <v/>
      </c>
      <c r="K38" s="319"/>
      <c r="L38" s="319" t="str">
        <f>IF(AND('Mapa final'!$I$13="Muy Baja",'Mapa final'!$M$13="Leve"),CONCATENATE("R",'Mapa final'!$A$13),"")</f>
        <v/>
      </c>
      <c r="M38" s="319"/>
      <c r="N38" s="319" t="str">
        <f>IF(AND('Mapa final'!$I$16="Muy Baja",'Mapa final'!$M$16="Leve"),CONCATENATE("R",'Mapa final'!$A$16),"")</f>
        <v/>
      </c>
      <c r="O38" s="320"/>
      <c r="P38" s="318" t="str">
        <f>IF(AND('Mapa final'!$I$10="Muy Baja",'Mapa final'!$M$10="Menor"),CONCATENATE("R",'Mapa final'!$A$10),"")</f>
        <v>R1</v>
      </c>
      <c r="Q38" s="319"/>
      <c r="R38" s="319" t="str">
        <f>IF(AND('Mapa final'!$I$13="Muy Baja",'Mapa final'!$M$13="Menor"),CONCATENATE("R",'Mapa final'!$A$13),"")</f>
        <v/>
      </c>
      <c r="S38" s="319"/>
      <c r="T38" s="319" t="str">
        <f>IF(AND('Mapa final'!$I$16="Muy Baja",'Mapa final'!$M$16="Menor"),CONCATENATE("R",'Mapa final'!$A$16),"")</f>
        <v/>
      </c>
      <c r="U38" s="320"/>
      <c r="V38" s="309" t="str">
        <f>IF(AND('Mapa final'!$I$10="Muy Baja",'Mapa final'!$M$10="Moderado"),CONCATENATE("R",'Mapa final'!$A$10),"")</f>
        <v/>
      </c>
      <c r="W38" s="310"/>
      <c r="X38" s="310" t="str">
        <f>IF(AND('Mapa final'!$I$13="Muy Baja",'Mapa final'!$M$13="Moderado"),CONCATENATE("R",'Mapa final'!$A$13),"")</f>
        <v/>
      </c>
      <c r="Y38" s="310"/>
      <c r="Z38" s="310" t="str">
        <f>IF(AND('Mapa final'!$I$16="Muy Baja",'Mapa final'!$M$16="Moderado"),CONCATENATE("R",'Mapa final'!$A$16),"")</f>
        <v>R3</v>
      </c>
      <c r="AA38" s="311"/>
      <c r="AB38" s="285" t="str">
        <f>IF(AND('Mapa final'!$I$10="Muy Baja",'Mapa final'!$M$10="Mayor"),CONCATENATE("R",'Mapa final'!$A$10),"")</f>
        <v/>
      </c>
      <c r="AC38" s="286"/>
      <c r="AD38" s="286" t="str">
        <f>IF(AND('Mapa final'!$I$13="Muy Baja",'Mapa final'!$M$13="Mayor"),CONCATENATE("R",'Mapa final'!$A$13),"")</f>
        <v/>
      </c>
      <c r="AE38" s="286"/>
      <c r="AF38" s="286" t="str">
        <f>IF(AND('Mapa final'!$I$16="Muy Baja",'Mapa final'!$M$16="Mayor"),CONCATENATE("R",'Mapa final'!$A$16),"")</f>
        <v/>
      </c>
      <c r="AG38" s="288"/>
      <c r="AH38" s="300" t="str">
        <f>IF(AND('Mapa final'!$I$10="Muy Baja",'Mapa final'!$M$10="Catastrófico"),CONCATENATE("R",'Mapa final'!$A$10),"")</f>
        <v/>
      </c>
      <c r="AI38" s="301"/>
      <c r="AJ38" s="301" t="str">
        <f>IF(AND('Mapa final'!$I$13="Muy Baja",'Mapa final'!$M$13="Catastrófico"),CONCATENATE("R",'Mapa final'!$A$13),"")</f>
        <v/>
      </c>
      <c r="AK38" s="301"/>
      <c r="AL38" s="301" t="str">
        <f>IF(AND('Mapa final'!$I$16="Muy Baja",'Mapa final'!$M$16="Catastrófico"),CONCATENATE("R",'Mapa final'!$A$16),"")</f>
        <v/>
      </c>
      <c r="AM38" s="302"/>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236"/>
      <c r="C39" s="236"/>
      <c r="D39" s="237"/>
      <c r="E39" s="277"/>
      <c r="F39" s="278"/>
      <c r="G39" s="278"/>
      <c r="H39" s="278"/>
      <c r="I39" s="279"/>
      <c r="J39" s="314"/>
      <c r="K39" s="312"/>
      <c r="L39" s="312"/>
      <c r="M39" s="312"/>
      <c r="N39" s="312"/>
      <c r="O39" s="313"/>
      <c r="P39" s="314"/>
      <c r="Q39" s="312"/>
      <c r="R39" s="312"/>
      <c r="S39" s="312"/>
      <c r="T39" s="312"/>
      <c r="U39" s="313"/>
      <c r="V39" s="303"/>
      <c r="W39" s="304"/>
      <c r="X39" s="304"/>
      <c r="Y39" s="304"/>
      <c r="Z39" s="304"/>
      <c r="AA39" s="305"/>
      <c r="AB39" s="287"/>
      <c r="AC39" s="283"/>
      <c r="AD39" s="283"/>
      <c r="AE39" s="283"/>
      <c r="AF39" s="283"/>
      <c r="AG39" s="284"/>
      <c r="AH39" s="294"/>
      <c r="AI39" s="295"/>
      <c r="AJ39" s="295"/>
      <c r="AK39" s="295"/>
      <c r="AL39" s="295"/>
      <c r="AM39" s="296"/>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236"/>
      <c r="C40" s="236"/>
      <c r="D40" s="237"/>
      <c r="E40" s="277"/>
      <c r="F40" s="278"/>
      <c r="G40" s="278"/>
      <c r="H40" s="278"/>
      <c r="I40" s="279"/>
      <c r="J40" s="314" t="str">
        <f>IF(AND('Mapa final'!$I$19="Muy Baja",'Mapa final'!$M$19="Leve"),CONCATENATE("R",'Mapa final'!$A$19),"")</f>
        <v/>
      </c>
      <c r="K40" s="312"/>
      <c r="L40" s="312" t="e">
        <f>IF(AND('Mapa final'!#REF!="Muy Baja",'Mapa final'!#REF!="Leve"),CONCATENATE("R",'Mapa final'!#REF!),"")</f>
        <v>#REF!</v>
      </c>
      <c r="M40" s="312"/>
      <c r="N40" s="312" t="str">
        <f>IF(AND('Mapa final'!$I$22="Muy Baja",'Mapa final'!$M$22="Leve"),CONCATENATE("R",'Mapa final'!$A$22),"")</f>
        <v/>
      </c>
      <c r="O40" s="313"/>
      <c r="P40" s="314" t="str">
        <f>IF(AND('Mapa final'!$I$19="Muy Baja",'Mapa final'!$M$19="Menor"),CONCATENATE("R",'Mapa final'!$A$19),"")</f>
        <v/>
      </c>
      <c r="Q40" s="312"/>
      <c r="R40" s="312" t="e">
        <f>IF(AND('Mapa final'!#REF!="Muy Baja",'Mapa final'!#REF!="Menor"),CONCATENATE("R",'Mapa final'!#REF!),"")</f>
        <v>#REF!</v>
      </c>
      <c r="S40" s="312"/>
      <c r="T40" s="312" t="str">
        <f>IF(AND('Mapa final'!$I$22="Muy Baja",'Mapa final'!$M$22="Menor"),CONCATENATE("R",'Mapa final'!$A$22),"")</f>
        <v/>
      </c>
      <c r="U40" s="313"/>
      <c r="V40" s="303" t="str">
        <f>IF(AND('Mapa final'!$I$19="Muy Baja",'Mapa final'!$M$19="Moderado"),CONCATENATE("R",'Mapa final'!$A$19),"")</f>
        <v/>
      </c>
      <c r="W40" s="304"/>
      <c r="X40" s="304" t="e">
        <f>IF(AND('Mapa final'!#REF!="Muy Baja",'Mapa final'!#REF!="Moderado"),CONCATENATE("R",'Mapa final'!#REF!),"")</f>
        <v>#REF!</v>
      </c>
      <c r="Y40" s="304"/>
      <c r="Z40" s="304" t="str">
        <f>IF(AND('Mapa final'!$I$22="Muy Baja",'Mapa final'!$M$22="Moderado"),CONCATENATE("R",'Mapa final'!$A$22),"")</f>
        <v/>
      </c>
      <c r="AA40" s="305"/>
      <c r="AB40" s="287" t="str">
        <f>IF(AND('Mapa final'!$I$19="Muy Baja",'Mapa final'!$M$19="Mayor"),CONCATENATE("R",'Mapa final'!$A$19),"")</f>
        <v/>
      </c>
      <c r="AC40" s="283"/>
      <c r="AD40" s="283" t="e">
        <f>IF(AND('Mapa final'!#REF!="Muy Baja",'Mapa final'!#REF!="Mayor"),CONCATENATE("R",'Mapa final'!#REF!),"")</f>
        <v>#REF!</v>
      </c>
      <c r="AE40" s="283"/>
      <c r="AF40" s="283" t="str">
        <f>IF(AND('Mapa final'!$I$22="Muy Baja",'Mapa final'!$M$22="Mayor"),CONCATENATE("R",'Mapa final'!$A$22),"")</f>
        <v/>
      </c>
      <c r="AG40" s="284"/>
      <c r="AH40" s="294" t="str">
        <f>IF(AND('Mapa final'!$I$19="Muy Baja",'Mapa final'!$M$19="Catastrófico"),CONCATENATE("R",'Mapa final'!$A$19),"")</f>
        <v/>
      </c>
      <c r="AI40" s="295"/>
      <c r="AJ40" s="295" t="e">
        <f>IF(AND('Mapa final'!#REF!="Muy Baja",'Mapa final'!#REF!="Catastrófico"),CONCATENATE("R",'Mapa final'!#REF!),"")</f>
        <v>#REF!</v>
      </c>
      <c r="AK40" s="295"/>
      <c r="AL40" s="295" t="str">
        <f>IF(AND('Mapa final'!$I$22="Muy Baja",'Mapa final'!$M$22="Catastrófico"),CONCATENATE("R",'Mapa final'!$A$22),"")</f>
        <v/>
      </c>
      <c r="AM40" s="296"/>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236"/>
      <c r="C41" s="236"/>
      <c r="D41" s="237"/>
      <c r="E41" s="277"/>
      <c r="F41" s="278"/>
      <c r="G41" s="278"/>
      <c r="H41" s="278"/>
      <c r="I41" s="279"/>
      <c r="J41" s="314"/>
      <c r="K41" s="312"/>
      <c r="L41" s="312"/>
      <c r="M41" s="312"/>
      <c r="N41" s="312"/>
      <c r="O41" s="313"/>
      <c r="P41" s="314"/>
      <c r="Q41" s="312"/>
      <c r="R41" s="312"/>
      <c r="S41" s="312"/>
      <c r="T41" s="312"/>
      <c r="U41" s="313"/>
      <c r="V41" s="303"/>
      <c r="W41" s="304"/>
      <c r="X41" s="304"/>
      <c r="Y41" s="304"/>
      <c r="Z41" s="304"/>
      <c r="AA41" s="305"/>
      <c r="AB41" s="287"/>
      <c r="AC41" s="283"/>
      <c r="AD41" s="283"/>
      <c r="AE41" s="283"/>
      <c r="AF41" s="283"/>
      <c r="AG41" s="284"/>
      <c r="AH41" s="294"/>
      <c r="AI41" s="295"/>
      <c r="AJ41" s="295"/>
      <c r="AK41" s="295"/>
      <c r="AL41" s="295"/>
      <c r="AM41" s="296"/>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236"/>
      <c r="C42" s="236"/>
      <c r="D42" s="237"/>
      <c r="E42" s="277"/>
      <c r="F42" s="278"/>
      <c r="G42" s="278"/>
      <c r="H42" s="278"/>
      <c r="I42" s="279"/>
      <c r="J42" s="314" t="e">
        <f>IF(AND('Mapa final'!#REF!="Muy Baja",'Mapa final'!#REF!="Leve"),CONCATENATE("R",'Mapa final'!#REF!),"")</f>
        <v>#REF!</v>
      </c>
      <c r="K42" s="312"/>
      <c r="L42" s="312" t="e">
        <f>IF(AND('Mapa final'!#REF!="Muy Baja",'Mapa final'!#REF!="Leve"),CONCATENATE("R",'Mapa final'!#REF!),"")</f>
        <v>#REF!</v>
      </c>
      <c r="M42" s="312"/>
      <c r="N42" s="312" t="str">
        <f>IF(AND('Mapa final'!$I$25="Muy Baja",'Mapa final'!$M$25="Leve"),CONCATENATE("R",'Mapa final'!$A$25),"")</f>
        <v/>
      </c>
      <c r="O42" s="313"/>
      <c r="P42" s="314" t="e">
        <f>IF(AND('Mapa final'!#REF!="Muy Baja",'Mapa final'!#REF!="Menor"),CONCATENATE("R",'Mapa final'!#REF!),"")</f>
        <v>#REF!</v>
      </c>
      <c r="Q42" s="312"/>
      <c r="R42" s="312" t="e">
        <f>IF(AND('Mapa final'!#REF!="Muy Baja",'Mapa final'!#REF!="Menor"),CONCATENATE("R",'Mapa final'!#REF!),"")</f>
        <v>#REF!</v>
      </c>
      <c r="S42" s="312"/>
      <c r="T42" s="312" t="str">
        <f>IF(AND('Mapa final'!$I$25="Muy Baja",'Mapa final'!$M$25="Menor"),CONCATENATE("R",'Mapa final'!$A$25),"")</f>
        <v/>
      </c>
      <c r="U42" s="313"/>
      <c r="V42" s="303" t="e">
        <f>IF(AND('Mapa final'!#REF!="Muy Baja",'Mapa final'!#REF!="Moderado"),CONCATENATE("R",'Mapa final'!#REF!),"")</f>
        <v>#REF!</v>
      </c>
      <c r="W42" s="304"/>
      <c r="X42" s="304" t="e">
        <f>IF(AND('Mapa final'!#REF!="Muy Baja",'Mapa final'!#REF!="Moderado"),CONCATENATE("R",'Mapa final'!#REF!),"")</f>
        <v>#REF!</v>
      </c>
      <c r="Y42" s="304"/>
      <c r="Z42" s="304" t="str">
        <f>IF(AND('Mapa final'!$I$25="Muy Baja",'Mapa final'!$M$25="Moderado"),CONCATENATE("R",'Mapa final'!$A$25),"")</f>
        <v/>
      </c>
      <c r="AA42" s="305"/>
      <c r="AB42" s="287" t="e">
        <f>IF(AND('Mapa final'!#REF!="Muy Baja",'Mapa final'!#REF!="Mayor"),CONCATENATE("R",'Mapa final'!#REF!),"")</f>
        <v>#REF!</v>
      </c>
      <c r="AC42" s="283"/>
      <c r="AD42" s="283" t="e">
        <f>IF(AND('Mapa final'!#REF!="Muy Baja",'Mapa final'!#REF!="Mayor"),CONCATENATE("R",'Mapa final'!#REF!),"")</f>
        <v>#REF!</v>
      </c>
      <c r="AE42" s="283"/>
      <c r="AF42" s="283" t="str">
        <f>IF(AND('Mapa final'!$I$25="Muy Baja",'Mapa final'!$M$25="Mayor"),CONCATENATE("R",'Mapa final'!$A$25),"")</f>
        <v/>
      </c>
      <c r="AG42" s="284"/>
      <c r="AH42" s="294" t="e">
        <f>IF(AND('Mapa final'!#REF!="Muy Baja",'Mapa final'!#REF!="Catastrófico"),CONCATENATE("R",'Mapa final'!#REF!),"")</f>
        <v>#REF!</v>
      </c>
      <c r="AI42" s="295"/>
      <c r="AJ42" s="295" t="e">
        <f>IF(AND('Mapa final'!#REF!="Muy Baja",'Mapa final'!#REF!="Catastrófico"),CONCATENATE("R",'Mapa final'!#REF!),"")</f>
        <v>#REF!</v>
      </c>
      <c r="AK42" s="295"/>
      <c r="AL42" s="295" t="str">
        <f>IF(AND('Mapa final'!$I$25="Muy Baja",'Mapa final'!$M$25="Catastrófico"),CONCATENATE("R",'Mapa final'!$A$25),"")</f>
        <v/>
      </c>
      <c r="AM42" s="296"/>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236"/>
      <c r="C43" s="236"/>
      <c r="D43" s="237"/>
      <c r="E43" s="277"/>
      <c r="F43" s="278"/>
      <c r="G43" s="278"/>
      <c r="H43" s="278"/>
      <c r="I43" s="279"/>
      <c r="J43" s="314"/>
      <c r="K43" s="312"/>
      <c r="L43" s="312"/>
      <c r="M43" s="312"/>
      <c r="N43" s="312"/>
      <c r="O43" s="313"/>
      <c r="P43" s="314"/>
      <c r="Q43" s="312"/>
      <c r="R43" s="312"/>
      <c r="S43" s="312"/>
      <c r="T43" s="312"/>
      <c r="U43" s="313"/>
      <c r="V43" s="303"/>
      <c r="W43" s="304"/>
      <c r="X43" s="304"/>
      <c r="Y43" s="304"/>
      <c r="Z43" s="304"/>
      <c r="AA43" s="305"/>
      <c r="AB43" s="287"/>
      <c r="AC43" s="283"/>
      <c r="AD43" s="283"/>
      <c r="AE43" s="283"/>
      <c r="AF43" s="283"/>
      <c r="AG43" s="284"/>
      <c r="AH43" s="294"/>
      <c r="AI43" s="295"/>
      <c r="AJ43" s="295"/>
      <c r="AK43" s="295"/>
      <c r="AL43" s="295"/>
      <c r="AM43" s="296"/>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236"/>
      <c r="C44" s="236"/>
      <c r="D44" s="237"/>
      <c r="E44" s="277"/>
      <c r="F44" s="278"/>
      <c r="G44" s="278"/>
      <c r="H44" s="278"/>
      <c r="I44" s="279"/>
      <c r="J44" s="314" t="str">
        <f>IF(AND('Mapa final'!$I$28="Muy Baja",'Mapa final'!$M$28="Leve"),CONCATENATE("R",'Mapa final'!$A$28),"")</f>
        <v/>
      </c>
      <c r="K44" s="312"/>
      <c r="L44" s="312" t="str">
        <f>IF(AND('Mapa final'!$I$31="Muy Baja",'Mapa final'!$M$31="Leve"),CONCATENATE("R",'Mapa final'!$A$31),"")</f>
        <v/>
      </c>
      <c r="M44" s="312"/>
      <c r="N44" s="312" t="str">
        <f>IF(AND('Mapa final'!$I$37="Muy Baja",'Mapa final'!$M$37="Leve"),CONCATENATE("R",'Mapa final'!$A$37),"")</f>
        <v/>
      </c>
      <c r="O44" s="313"/>
      <c r="P44" s="314" t="str">
        <f>IF(AND('Mapa final'!$I$28="Muy Baja",'Mapa final'!$M$28="Menor"),CONCATENATE("R",'Mapa final'!$A$28),"")</f>
        <v/>
      </c>
      <c r="Q44" s="312"/>
      <c r="R44" s="312" t="str">
        <f>IF(AND('Mapa final'!$I$31="Muy Baja",'Mapa final'!$M$31="Menor"),CONCATENATE("R",'Mapa final'!$A$31),"")</f>
        <v/>
      </c>
      <c r="S44" s="312"/>
      <c r="T44" s="312" t="str">
        <f>IF(AND('Mapa final'!$I$37="Muy Baja",'Mapa final'!$M$37="Menor"),CONCATENATE("R",'Mapa final'!$A$37),"")</f>
        <v/>
      </c>
      <c r="U44" s="313"/>
      <c r="V44" s="303" t="str">
        <f>IF(AND('Mapa final'!$I$28="Muy Baja",'Mapa final'!$M$28="Moderado"),CONCATENATE("R",'Mapa final'!$A$28),"")</f>
        <v/>
      </c>
      <c r="W44" s="304"/>
      <c r="X44" s="304" t="str">
        <f>IF(AND('Mapa final'!$I$31="Muy Baja",'Mapa final'!$M$31="Moderado"),CONCATENATE("R",'Mapa final'!$A$31),"")</f>
        <v/>
      </c>
      <c r="Y44" s="304"/>
      <c r="Z44" s="304" t="str">
        <f>IF(AND('Mapa final'!$I$37="Muy Baja",'Mapa final'!$M$37="Moderado"),CONCATENATE("R",'Mapa final'!$A$37),"")</f>
        <v/>
      </c>
      <c r="AA44" s="305"/>
      <c r="AB44" s="287" t="str">
        <f>IF(AND('Mapa final'!$I$28="Muy Baja",'Mapa final'!$M$28="Mayor"),CONCATENATE("R",'Mapa final'!$A$28),"")</f>
        <v/>
      </c>
      <c r="AC44" s="283"/>
      <c r="AD44" s="283" t="str">
        <f>IF(AND('Mapa final'!$I$31="Muy Baja",'Mapa final'!$M$31="Mayor"),CONCATENATE("R",'Mapa final'!$A$31),"")</f>
        <v/>
      </c>
      <c r="AE44" s="283"/>
      <c r="AF44" s="283" t="str">
        <f>IF(AND('Mapa final'!$I$37="Muy Baja",'Mapa final'!$M$37="Mayor"),CONCATENATE("R",'Mapa final'!$A$37),"")</f>
        <v/>
      </c>
      <c r="AG44" s="284"/>
      <c r="AH44" s="294" t="str">
        <f>IF(AND('Mapa final'!$I$28="Muy Baja",'Mapa final'!$M$28="Catastrófico"),CONCATENATE("R",'Mapa final'!$A$28),"")</f>
        <v/>
      </c>
      <c r="AI44" s="295"/>
      <c r="AJ44" s="295" t="str">
        <f>IF(AND('Mapa final'!$I$31="Muy Baja",'Mapa final'!$M$31="Catastrófico"),CONCATENATE("R",'Mapa final'!$A$31),"")</f>
        <v/>
      </c>
      <c r="AK44" s="295"/>
      <c r="AL44" s="295" t="str">
        <f>IF(AND('Mapa final'!$I$37="Muy Baja",'Mapa final'!$M$37="Catastrófico"),CONCATENATE("R",'Mapa final'!$A$37),"")</f>
        <v/>
      </c>
      <c r="AM44" s="296"/>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236"/>
      <c r="C45" s="236"/>
      <c r="D45" s="237"/>
      <c r="E45" s="280"/>
      <c r="F45" s="281"/>
      <c r="G45" s="281"/>
      <c r="H45" s="281"/>
      <c r="I45" s="282"/>
      <c r="J45" s="315"/>
      <c r="K45" s="316"/>
      <c r="L45" s="316"/>
      <c r="M45" s="316"/>
      <c r="N45" s="316"/>
      <c r="O45" s="317"/>
      <c r="P45" s="315"/>
      <c r="Q45" s="316"/>
      <c r="R45" s="316"/>
      <c r="S45" s="316"/>
      <c r="T45" s="316"/>
      <c r="U45" s="317"/>
      <c r="V45" s="306"/>
      <c r="W45" s="307"/>
      <c r="X45" s="307"/>
      <c r="Y45" s="307"/>
      <c r="Z45" s="307"/>
      <c r="AA45" s="308"/>
      <c r="AB45" s="291"/>
      <c r="AC45" s="292"/>
      <c r="AD45" s="292"/>
      <c r="AE45" s="292"/>
      <c r="AF45" s="292"/>
      <c r="AG45" s="293"/>
      <c r="AH45" s="297"/>
      <c r="AI45" s="298"/>
      <c r="AJ45" s="298"/>
      <c r="AK45" s="298"/>
      <c r="AL45" s="298"/>
      <c r="AM45" s="299"/>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274" t="s">
        <v>108</v>
      </c>
      <c r="K46" s="275"/>
      <c r="L46" s="275"/>
      <c r="M46" s="275"/>
      <c r="N46" s="275"/>
      <c r="O46" s="276"/>
      <c r="P46" s="274" t="s">
        <v>107</v>
      </c>
      <c r="Q46" s="275"/>
      <c r="R46" s="275"/>
      <c r="S46" s="275"/>
      <c r="T46" s="275"/>
      <c r="U46" s="276"/>
      <c r="V46" s="274" t="s">
        <v>106</v>
      </c>
      <c r="W46" s="275"/>
      <c r="X46" s="275"/>
      <c r="Y46" s="275"/>
      <c r="Z46" s="275"/>
      <c r="AA46" s="276"/>
      <c r="AB46" s="274" t="s">
        <v>105</v>
      </c>
      <c r="AC46" s="290"/>
      <c r="AD46" s="275"/>
      <c r="AE46" s="275"/>
      <c r="AF46" s="275"/>
      <c r="AG46" s="276"/>
      <c r="AH46" s="274" t="s">
        <v>104</v>
      </c>
      <c r="AI46" s="275"/>
      <c r="AJ46" s="275"/>
      <c r="AK46" s="275"/>
      <c r="AL46" s="275"/>
      <c r="AM46" s="276"/>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277"/>
      <c r="K47" s="278"/>
      <c r="L47" s="278"/>
      <c r="M47" s="278"/>
      <c r="N47" s="278"/>
      <c r="O47" s="279"/>
      <c r="P47" s="277"/>
      <c r="Q47" s="278"/>
      <c r="R47" s="278"/>
      <c r="S47" s="278"/>
      <c r="T47" s="278"/>
      <c r="U47" s="279"/>
      <c r="V47" s="277"/>
      <c r="W47" s="278"/>
      <c r="X47" s="278"/>
      <c r="Y47" s="278"/>
      <c r="Z47" s="278"/>
      <c r="AA47" s="279"/>
      <c r="AB47" s="277"/>
      <c r="AC47" s="278"/>
      <c r="AD47" s="278"/>
      <c r="AE47" s="278"/>
      <c r="AF47" s="278"/>
      <c r="AG47" s="279"/>
      <c r="AH47" s="277"/>
      <c r="AI47" s="278"/>
      <c r="AJ47" s="278"/>
      <c r="AK47" s="278"/>
      <c r="AL47" s="278"/>
      <c r="AM47" s="279"/>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277"/>
      <c r="K48" s="278"/>
      <c r="L48" s="278"/>
      <c r="M48" s="278"/>
      <c r="N48" s="278"/>
      <c r="O48" s="279"/>
      <c r="P48" s="277"/>
      <c r="Q48" s="278"/>
      <c r="R48" s="278"/>
      <c r="S48" s="278"/>
      <c r="T48" s="278"/>
      <c r="U48" s="279"/>
      <c r="V48" s="277"/>
      <c r="W48" s="278"/>
      <c r="X48" s="278"/>
      <c r="Y48" s="278"/>
      <c r="Z48" s="278"/>
      <c r="AA48" s="279"/>
      <c r="AB48" s="277"/>
      <c r="AC48" s="278"/>
      <c r="AD48" s="278"/>
      <c r="AE48" s="278"/>
      <c r="AF48" s="278"/>
      <c r="AG48" s="279"/>
      <c r="AH48" s="277"/>
      <c r="AI48" s="278"/>
      <c r="AJ48" s="278"/>
      <c r="AK48" s="278"/>
      <c r="AL48" s="278"/>
      <c r="AM48" s="279"/>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277"/>
      <c r="K49" s="278"/>
      <c r="L49" s="278"/>
      <c r="M49" s="278"/>
      <c r="N49" s="278"/>
      <c r="O49" s="279"/>
      <c r="P49" s="277"/>
      <c r="Q49" s="278"/>
      <c r="R49" s="278"/>
      <c r="S49" s="278"/>
      <c r="T49" s="278"/>
      <c r="U49" s="279"/>
      <c r="V49" s="277"/>
      <c r="W49" s="278"/>
      <c r="X49" s="278"/>
      <c r="Y49" s="278"/>
      <c r="Z49" s="278"/>
      <c r="AA49" s="279"/>
      <c r="AB49" s="277"/>
      <c r="AC49" s="278"/>
      <c r="AD49" s="278"/>
      <c r="AE49" s="278"/>
      <c r="AF49" s="278"/>
      <c r="AG49" s="279"/>
      <c r="AH49" s="277"/>
      <c r="AI49" s="278"/>
      <c r="AJ49" s="278"/>
      <c r="AK49" s="278"/>
      <c r="AL49" s="278"/>
      <c r="AM49" s="279"/>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277"/>
      <c r="K50" s="278"/>
      <c r="L50" s="278"/>
      <c r="M50" s="278"/>
      <c r="N50" s="278"/>
      <c r="O50" s="279"/>
      <c r="P50" s="277"/>
      <c r="Q50" s="278"/>
      <c r="R50" s="278"/>
      <c r="S50" s="278"/>
      <c r="T50" s="278"/>
      <c r="U50" s="279"/>
      <c r="V50" s="277"/>
      <c r="W50" s="278"/>
      <c r="X50" s="278"/>
      <c r="Y50" s="278"/>
      <c r="Z50" s="278"/>
      <c r="AA50" s="279"/>
      <c r="AB50" s="277"/>
      <c r="AC50" s="278"/>
      <c r="AD50" s="278"/>
      <c r="AE50" s="278"/>
      <c r="AF50" s="278"/>
      <c r="AG50" s="279"/>
      <c r="AH50" s="277"/>
      <c r="AI50" s="278"/>
      <c r="AJ50" s="278"/>
      <c r="AK50" s="278"/>
      <c r="AL50" s="278"/>
      <c r="AM50" s="279"/>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280"/>
      <c r="K51" s="281"/>
      <c r="L51" s="281"/>
      <c r="M51" s="281"/>
      <c r="N51" s="281"/>
      <c r="O51" s="282"/>
      <c r="P51" s="280"/>
      <c r="Q51" s="281"/>
      <c r="R51" s="281"/>
      <c r="S51" s="281"/>
      <c r="T51" s="281"/>
      <c r="U51" s="282"/>
      <c r="V51" s="280"/>
      <c r="W51" s="281"/>
      <c r="X51" s="281"/>
      <c r="Y51" s="281"/>
      <c r="Z51" s="281"/>
      <c r="AA51" s="282"/>
      <c r="AB51" s="280"/>
      <c r="AC51" s="281"/>
      <c r="AD51" s="281"/>
      <c r="AE51" s="281"/>
      <c r="AF51" s="281"/>
      <c r="AG51" s="282"/>
      <c r="AH51" s="280"/>
      <c r="AI51" s="281"/>
      <c r="AJ51" s="281"/>
      <c r="AK51" s="281"/>
      <c r="AL51" s="281"/>
      <c r="AM51" s="2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J6" sqref="J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347" t="s">
        <v>154</v>
      </c>
      <c r="C2" s="348"/>
      <c r="D2" s="348"/>
      <c r="E2" s="348"/>
      <c r="F2" s="348"/>
      <c r="G2" s="348"/>
      <c r="H2" s="348"/>
      <c r="I2" s="348"/>
      <c r="J2" s="289" t="s">
        <v>2</v>
      </c>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348"/>
      <c r="C3" s="348"/>
      <c r="D3" s="348"/>
      <c r="E3" s="348"/>
      <c r="F3" s="348"/>
      <c r="G3" s="348"/>
      <c r="H3" s="348"/>
      <c r="I3" s="348"/>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348"/>
      <c r="C4" s="348"/>
      <c r="D4" s="348"/>
      <c r="E4" s="348"/>
      <c r="F4" s="348"/>
      <c r="G4" s="348"/>
      <c r="H4" s="348"/>
      <c r="I4" s="348"/>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236" t="s">
        <v>4</v>
      </c>
      <c r="C6" s="236"/>
      <c r="D6" s="237"/>
      <c r="E6" s="331" t="s">
        <v>112</v>
      </c>
      <c r="F6" s="332"/>
      <c r="G6" s="332"/>
      <c r="H6" s="332"/>
      <c r="I6" s="349"/>
      <c r="J6" s="46" t="str">
        <f>IF(AND('Mapa final'!$Z$10="Muy Alta",'Mapa final'!$AB$10="Leve"),CONCATENATE("R1C",'Mapa final'!$P$10),"")</f>
        <v/>
      </c>
      <c r="K6" s="47" t="str">
        <f>IF(AND('Mapa final'!$Z$11="Muy Alta",'Mapa final'!$AB$11="Leve"),CONCATENATE("R1C",'Mapa final'!$P$11),"")</f>
        <v/>
      </c>
      <c r="L6" s="47" t="str">
        <f>IF(AND('Mapa final'!$Z$12="Muy Alta",'Mapa final'!$AB$12="Leve"),CONCATENATE("R1C",'Mapa final'!$P$12),"")</f>
        <v/>
      </c>
      <c r="M6" s="47" t="e">
        <f>IF(AND('Mapa final'!#REF!="Muy Alta",'Mapa final'!#REF!="Leve"),CONCATENATE("R1C",'Mapa final'!#REF!),"")</f>
        <v>#REF!</v>
      </c>
      <c r="N6" s="47" t="e">
        <f>IF(AND('Mapa final'!#REF!="Muy Alta",'Mapa final'!#REF!="Leve"),CONCATENATE("R1C",'Mapa final'!#REF!),"")</f>
        <v>#REF!</v>
      </c>
      <c r="O6" s="48" t="e">
        <f>IF(AND('Mapa final'!#REF!="Muy Alta",'Mapa final'!#REF!="Leve"),CONCATENATE("R1C",'Mapa final'!#REF!),"")</f>
        <v>#REF!</v>
      </c>
      <c r="P6" s="46" t="str">
        <f>IF(AND('Mapa final'!$Z$10="Muy Alta",'Mapa final'!$AB$10="Menor"),CONCATENATE("R1C",'Mapa final'!$P$10),"")</f>
        <v/>
      </c>
      <c r="Q6" s="47" t="str">
        <f>IF(AND('Mapa final'!$Z$11="Muy Alta",'Mapa final'!$AB$11="Menor"),CONCATENATE("R1C",'Mapa final'!$P$11),"")</f>
        <v/>
      </c>
      <c r="R6" s="47" t="str">
        <f>IF(AND('Mapa final'!$Z$12="Muy Alta",'Mapa final'!$AB$12="Menor"),CONCATENATE("R1C",'Mapa final'!$P$12),"")</f>
        <v/>
      </c>
      <c r="S6" s="47" t="e">
        <f>IF(AND('Mapa final'!#REF!="Muy Alta",'Mapa final'!#REF!="Menor"),CONCATENATE("R1C",'Mapa final'!#REF!),"")</f>
        <v>#REF!</v>
      </c>
      <c r="T6" s="47" t="e">
        <f>IF(AND('Mapa final'!#REF!="Muy Alta",'Mapa final'!#REF!="Menor"),CONCATENATE("R1C",'Mapa final'!#REF!),"")</f>
        <v>#REF!</v>
      </c>
      <c r="U6" s="48" t="e">
        <f>IF(AND('Mapa final'!#REF!="Muy Alta",'Mapa final'!#REF!="Menor"),CONCATENATE("R1C",'Mapa final'!#REF!),"")</f>
        <v>#REF!</v>
      </c>
      <c r="V6" s="46" t="str">
        <f>IF(AND('Mapa final'!$Z$10="Muy Alta",'Mapa final'!$AB$10="Moderado"),CONCATENATE("R1C",'Mapa final'!$P$10),"")</f>
        <v/>
      </c>
      <c r="W6" s="47" t="str">
        <f>IF(AND('Mapa final'!$Z$11="Muy Alta",'Mapa final'!$AB$11="Moderado"),CONCATENATE("R1C",'Mapa final'!$P$11),"")</f>
        <v/>
      </c>
      <c r="X6" s="47" t="str">
        <f>IF(AND('Mapa final'!$Z$12="Muy Alta",'Mapa final'!$AB$12="Moderado"),CONCATENATE("R1C",'Mapa final'!$P$12),"")</f>
        <v/>
      </c>
      <c r="Y6" s="47" t="e">
        <f>IF(AND('Mapa final'!#REF!="Muy Alta",'Mapa final'!#REF!="Moderado"),CONCATENATE("R1C",'Mapa final'!#REF!),"")</f>
        <v>#REF!</v>
      </c>
      <c r="Z6" s="47" t="e">
        <f>IF(AND('Mapa final'!#REF!="Muy Alta",'Mapa final'!#REF!="Moderado"),CONCATENATE("R1C",'Mapa final'!#REF!),"")</f>
        <v>#REF!</v>
      </c>
      <c r="AA6" s="48" t="e">
        <f>IF(AND('Mapa final'!#REF!="Muy Alta",'Mapa final'!#REF!="Moderado"),CONCATENATE("R1C",'Mapa final'!#REF!),"")</f>
        <v>#REF!</v>
      </c>
      <c r="AB6" s="46" t="str">
        <f>IF(AND('Mapa final'!$Z$10="Muy Alta",'Mapa final'!$AB$10="Mayor"),CONCATENATE("R1C",'Mapa final'!$P$10),"")</f>
        <v/>
      </c>
      <c r="AC6" s="47" t="str">
        <f>IF(AND('Mapa final'!$Z$11="Muy Alta",'Mapa final'!$AB$11="Mayor"),CONCATENATE("R1C",'Mapa final'!$P$11),"")</f>
        <v/>
      </c>
      <c r="AD6" s="47" t="str">
        <f>IF(AND('Mapa final'!$Z$12="Muy Alta",'Mapa final'!$AB$12="Mayor"),CONCATENATE("R1C",'Mapa final'!$P$12),"")</f>
        <v/>
      </c>
      <c r="AE6" s="47" t="e">
        <f>IF(AND('Mapa final'!#REF!="Muy Alta",'Mapa final'!#REF!="Mayor"),CONCATENATE("R1C",'Mapa final'!#REF!),"")</f>
        <v>#REF!</v>
      </c>
      <c r="AF6" s="47" t="e">
        <f>IF(AND('Mapa final'!#REF!="Muy Alta",'Mapa final'!#REF!="Mayor"),CONCATENATE("R1C",'Mapa final'!#REF!),"")</f>
        <v>#REF!</v>
      </c>
      <c r="AG6" s="48" t="e">
        <f>IF(AND('Mapa final'!#REF!="Muy Alta",'Mapa final'!#REF!="Mayor"),CONCATENATE("R1C",'Mapa final'!#REF!),"")</f>
        <v>#REF!</v>
      </c>
      <c r="AH6" s="49" t="str">
        <f>IF(AND('Mapa final'!$Z$10="Muy Alta",'Mapa final'!$AB$10="Catastrófico"),CONCATENATE("R1C",'Mapa final'!$P$10),"")</f>
        <v/>
      </c>
      <c r="AI6" s="50" t="str">
        <f>IF(AND('Mapa final'!$Z$11="Muy Alta",'Mapa final'!$AB$11="Catastrófico"),CONCATENATE("R1C",'Mapa final'!$P$11),"")</f>
        <v/>
      </c>
      <c r="AJ6" s="50" t="str">
        <f>IF(AND('Mapa final'!$Z$12="Muy Alta",'Mapa final'!$AB$12="Catastrófico"),CONCATENATE("R1C",'Mapa final'!$P$12),"")</f>
        <v/>
      </c>
      <c r="AK6" s="50" t="e">
        <f>IF(AND('Mapa final'!#REF!="Muy Alta",'Mapa final'!#REF!="Catastrófico"),CONCATENATE("R1C",'Mapa final'!#REF!),"")</f>
        <v>#REF!</v>
      </c>
      <c r="AL6" s="50" t="e">
        <f>IF(AND('Mapa final'!#REF!="Muy Alta",'Mapa final'!#REF!="Catastrófico"),CONCATENATE("R1C",'Mapa final'!#REF!),"")</f>
        <v>#REF!</v>
      </c>
      <c r="AM6" s="51" t="e">
        <f>IF(AND('Mapa final'!#REF!="Muy Alta",'Mapa final'!#REF!="Catastrófico"),CONCATENATE("R1C",'Mapa final'!#REF!),"")</f>
        <v>#REF!</v>
      </c>
      <c r="AN6" s="83"/>
      <c r="AO6" s="338" t="s">
        <v>75</v>
      </c>
      <c r="AP6" s="339"/>
      <c r="AQ6" s="339"/>
      <c r="AR6" s="339"/>
      <c r="AS6" s="339"/>
      <c r="AT6" s="340"/>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236"/>
      <c r="C7" s="236"/>
      <c r="D7" s="237"/>
      <c r="E7" s="335"/>
      <c r="F7" s="334"/>
      <c r="G7" s="334"/>
      <c r="H7" s="334"/>
      <c r="I7" s="350"/>
      <c r="J7" s="52" t="str">
        <f>IF(AND('Mapa final'!$Z$13="Muy Alta",'Mapa final'!$AB$13="Leve"),CONCATENATE("R2C",'Mapa final'!$P$13),"")</f>
        <v/>
      </c>
      <c r="K7" s="53" t="str">
        <f>IF(AND('Mapa final'!$Z$14="Muy Alta",'Mapa final'!$AB$14="Leve"),CONCATENATE("R2C",'Mapa final'!$P$14),"")</f>
        <v/>
      </c>
      <c r="L7" s="53" t="str">
        <f>IF(AND('Mapa final'!$Z$15="Muy Alta",'Mapa final'!$AB$15="Leve"),CONCATENATE("R2C",'Mapa final'!$P$15),"")</f>
        <v/>
      </c>
      <c r="M7" s="53" t="e">
        <f>IF(AND('Mapa final'!#REF!="Muy Alta",'Mapa final'!#REF!="Leve"),CONCATENATE("R2C",'Mapa final'!#REF!),"")</f>
        <v>#REF!</v>
      </c>
      <c r="N7" s="53" t="e">
        <f>IF(AND('Mapa final'!#REF!="Muy Alta",'Mapa final'!#REF!="Leve"),CONCATENATE("R2C",'Mapa final'!#REF!),"")</f>
        <v>#REF!</v>
      </c>
      <c r="O7" s="54" t="e">
        <f>IF(AND('Mapa final'!#REF!="Muy Alta",'Mapa final'!#REF!="Leve"),CONCATENATE("R2C",'Mapa final'!#REF!),"")</f>
        <v>#REF!</v>
      </c>
      <c r="P7" s="52" t="str">
        <f>IF(AND('Mapa final'!$Z$13="Muy Alta",'Mapa final'!$AB$13="Menor"),CONCATENATE("R2C",'Mapa final'!$P$13),"")</f>
        <v/>
      </c>
      <c r="Q7" s="53" t="str">
        <f>IF(AND('Mapa final'!$Z$14="Muy Alta",'Mapa final'!$AB$14="Menor"),CONCATENATE("R2C",'Mapa final'!$P$14),"")</f>
        <v/>
      </c>
      <c r="R7" s="53" t="str">
        <f>IF(AND('Mapa final'!$Z$15="Muy Alta",'Mapa final'!$AB$15="Menor"),CONCATENATE("R2C",'Mapa final'!$P$15),"")</f>
        <v/>
      </c>
      <c r="S7" s="53" t="e">
        <f>IF(AND('Mapa final'!#REF!="Muy Alta",'Mapa final'!#REF!="Menor"),CONCATENATE("R2C",'Mapa final'!#REF!),"")</f>
        <v>#REF!</v>
      </c>
      <c r="T7" s="53" t="e">
        <f>IF(AND('Mapa final'!#REF!="Muy Alta",'Mapa final'!#REF!="Menor"),CONCATENATE("R2C",'Mapa final'!#REF!),"")</f>
        <v>#REF!</v>
      </c>
      <c r="U7" s="54" t="e">
        <f>IF(AND('Mapa final'!#REF!="Muy Alta",'Mapa final'!#REF!="Menor"),CONCATENATE("R2C",'Mapa final'!#REF!),"")</f>
        <v>#REF!</v>
      </c>
      <c r="V7" s="52" t="str">
        <f>IF(AND('Mapa final'!$Z$13="Muy Alta",'Mapa final'!$AB$13="Moderado"),CONCATENATE("R2C",'Mapa final'!$P$13),"")</f>
        <v/>
      </c>
      <c r="W7" s="53" t="str">
        <f>IF(AND('Mapa final'!$Z$14="Muy Alta",'Mapa final'!$AB$14="Moderado"),CONCATENATE("R2C",'Mapa final'!$P$14),"")</f>
        <v/>
      </c>
      <c r="X7" s="53" t="str">
        <f>IF(AND('Mapa final'!$Z$15="Muy Alta",'Mapa final'!$AB$15="Moderado"),CONCATENATE("R2C",'Mapa final'!$P$15),"")</f>
        <v/>
      </c>
      <c r="Y7" s="53" t="e">
        <f>IF(AND('Mapa final'!#REF!="Muy Alta",'Mapa final'!#REF!="Moderado"),CONCATENATE("R2C",'Mapa final'!#REF!),"")</f>
        <v>#REF!</v>
      </c>
      <c r="Z7" s="53" t="e">
        <f>IF(AND('Mapa final'!#REF!="Muy Alta",'Mapa final'!#REF!="Moderado"),CONCATENATE("R2C",'Mapa final'!#REF!),"")</f>
        <v>#REF!</v>
      </c>
      <c r="AA7" s="54" t="e">
        <f>IF(AND('Mapa final'!#REF!="Muy Alta",'Mapa final'!#REF!="Moderado"),CONCATENATE("R2C",'Mapa final'!#REF!),"")</f>
        <v>#REF!</v>
      </c>
      <c r="AB7" s="52" t="str">
        <f>IF(AND('Mapa final'!$Z$13="Muy Alta",'Mapa final'!$AB$13="Mayor"),CONCATENATE("R2C",'Mapa final'!$P$13),"")</f>
        <v/>
      </c>
      <c r="AC7" s="53" t="str">
        <f>IF(AND('Mapa final'!$Z$14="Muy Alta",'Mapa final'!$AB$14="Mayor"),CONCATENATE("R2C",'Mapa final'!$P$14),"")</f>
        <v/>
      </c>
      <c r="AD7" s="53" t="str">
        <f>IF(AND('Mapa final'!$Z$15="Muy Alta",'Mapa final'!$AB$15="Mayor"),CONCATENATE("R2C",'Mapa final'!$P$15),"")</f>
        <v/>
      </c>
      <c r="AE7" s="53" t="e">
        <f>IF(AND('Mapa final'!#REF!="Muy Alta",'Mapa final'!#REF!="Mayor"),CONCATENATE("R2C",'Mapa final'!#REF!),"")</f>
        <v>#REF!</v>
      </c>
      <c r="AF7" s="53" t="e">
        <f>IF(AND('Mapa final'!#REF!="Muy Alta",'Mapa final'!#REF!="Mayor"),CONCATENATE("R2C",'Mapa final'!#REF!),"")</f>
        <v>#REF!</v>
      </c>
      <c r="AG7" s="54" t="e">
        <f>IF(AND('Mapa final'!#REF!="Muy Alta",'Mapa final'!#REF!="Mayor"),CONCATENATE("R2C",'Mapa final'!#REF!),"")</f>
        <v>#REF!</v>
      </c>
      <c r="AH7" s="55" t="str">
        <f>IF(AND('Mapa final'!$Z$13="Muy Alta",'Mapa final'!$AB$13="Catastrófico"),CONCATENATE("R2C",'Mapa final'!$P$13),"")</f>
        <v/>
      </c>
      <c r="AI7" s="56" t="str">
        <f>IF(AND('Mapa final'!$Z$14="Muy Alta",'Mapa final'!$AB$14="Catastrófico"),CONCATENATE("R2C",'Mapa final'!$P$14),"")</f>
        <v/>
      </c>
      <c r="AJ7" s="56" t="str">
        <f>IF(AND('Mapa final'!$Z$15="Muy Alta",'Mapa final'!$AB$15="Catastrófico"),CONCATENATE("R2C",'Mapa final'!$P$15),"")</f>
        <v/>
      </c>
      <c r="AK7" s="56" t="e">
        <f>IF(AND('Mapa final'!#REF!="Muy Alta",'Mapa final'!#REF!="Catastrófico"),CONCATENATE("R2C",'Mapa final'!#REF!),"")</f>
        <v>#REF!</v>
      </c>
      <c r="AL7" s="56" t="e">
        <f>IF(AND('Mapa final'!#REF!="Muy Alta",'Mapa final'!#REF!="Catastrófico"),CONCATENATE("R2C",'Mapa final'!#REF!),"")</f>
        <v>#REF!</v>
      </c>
      <c r="AM7" s="57" t="e">
        <f>IF(AND('Mapa final'!#REF!="Muy Alta",'Mapa final'!#REF!="Catastrófico"),CONCATENATE("R2C",'Mapa final'!#REF!),"")</f>
        <v>#REF!</v>
      </c>
      <c r="AN7" s="83"/>
      <c r="AO7" s="341"/>
      <c r="AP7" s="342"/>
      <c r="AQ7" s="342"/>
      <c r="AR7" s="342"/>
      <c r="AS7" s="342"/>
      <c r="AT7" s="34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236"/>
      <c r="C8" s="236"/>
      <c r="D8" s="237"/>
      <c r="E8" s="335"/>
      <c r="F8" s="334"/>
      <c r="G8" s="334"/>
      <c r="H8" s="334"/>
      <c r="I8" s="350"/>
      <c r="J8" s="52" t="str">
        <f>IF(AND('Mapa final'!$Z$16="Muy Alta",'Mapa final'!$AB$16="Leve"),CONCATENATE("R3C",'Mapa final'!$P$16),"")</f>
        <v/>
      </c>
      <c r="K8" s="53" t="str">
        <f>IF(AND('Mapa final'!$Z$17="Muy Alta",'Mapa final'!$AB$17="Leve"),CONCATENATE("R3C",'Mapa final'!$P$17),"")</f>
        <v/>
      </c>
      <c r="L8" s="53" t="str">
        <f>IF(AND('Mapa final'!$Z$18="Muy Alta",'Mapa final'!$AB$18="Leve"),CONCATENATE("R3C",'Mapa final'!$P$18),"")</f>
        <v/>
      </c>
      <c r="M8" s="53" t="e">
        <f>IF(AND('Mapa final'!#REF!="Muy Alta",'Mapa final'!#REF!="Leve"),CONCATENATE("R3C",'Mapa final'!#REF!),"")</f>
        <v>#REF!</v>
      </c>
      <c r="N8" s="53" t="e">
        <f>IF(AND('Mapa final'!#REF!="Muy Alta",'Mapa final'!#REF!="Leve"),CONCATENATE("R3C",'Mapa final'!#REF!),"")</f>
        <v>#REF!</v>
      </c>
      <c r="O8" s="54" t="e">
        <f>IF(AND('Mapa final'!#REF!="Muy Alta",'Mapa final'!#REF!="Leve"),CONCATENATE("R3C",'Mapa final'!#REF!),"")</f>
        <v>#REF!</v>
      </c>
      <c r="P8" s="52" t="str">
        <f>IF(AND('Mapa final'!$Z$16="Muy Alta",'Mapa final'!$AB$16="Menor"),CONCATENATE("R3C",'Mapa final'!$P$16),"")</f>
        <v/>
      </c>
      <c r="Q8" s="53" t="str">
        <f>IF(AND('Mapa final'!$Z$17="Muy Alta",'Mapa final'!$AB$17="Menor"),CONCATENATE("R3C",'Mapa final'!$P$17),"")</f>
        <v/>
      </c>
      <c r="R8" s="53" t="str">
        <f>IF(AND('Mapa final'!$Z$18="Muy Alta",'Mapa final'!$AB$18="Menor"),CONCATENATE("R3C",'Mapa final'!$P$18),"")</f>
        <v/>
      </c>
      <c r="S8" s="53" t="e">
        <f>IF(AND('Mapa final'!#REF!="Muy Alta",'Mapa final'!#REF!="Menor"),CONCATENATE("R3C",'Mapa final'!#REF!),"")</f>
        <v>#REF!</v>
      </c>
      <c r="T8" s="53" t="e">
        <f>IF(AND('Mapa final'!#REF!="Muy Alta",'Mapa final'!#REF!="Menor"),CONCATENATE("R3C",'Mapa final'!#REF!),"")</f>
        <v>#REF!</v>
      </c>
      <c r="U8" s="54" t="e">
        <f>IF(AND('Mapa final'!#REF!="Muy Alta",'Mapa final'!#REF!="Menor"),CONCATENATE("R3C",'Mapa final'!#REF!),"")</f>
        <v>#REF!</v>
      </c>
      <c r="V8" s="52" t="str">
        <f>IF(AND('Mapa final'!$Z$16="Muy Alta",'Mapa final'!$AB$16="Moderado"),CONCATENATE("R3C",'Mapa final'!$P$16),"")</f>
        <v/>
      </c>
      <c r="W8" s="53" t="str">
        <f>IF(AND('Mapa final'!$Z$17="Muy Alta",'Mapa final'!$AB$17="Moderado"),CONCATENATE("R3C",'Mapa final'!$P$17),"")</f>
        <v/>
      </c>
      <c r="X8" s="53" t="str">
        <f>IF(AND('Mapa final'!$Z$18="Muy Alta",'Mapa final'!$AB$18="Moderado"),CONCATENATE("R3C",'Mapa final'!$P$18),"")</f>
        <v/>
      </c>
      <c r="Y8" s="53" t="e">
        <f>IF(AND('Mapa final'!#REF!="Muy Alta",'Mapa final'!#REF!="Moderado"),CONCATENATE("R3C",'Mapa final'!#REF!),"")</f>
        <v>#REF!</v>
      </c>
      <c r="Z8" s="53" t="e">
        <f>IF(AND('Mapa final'!#REF!="Muy Alta",'Mapa final'!#REF!="Moderado"),CONCATENATE("R3C",'Mapa final'!#REF!),"")</f>
        <v>#REF!</v>
      </c>
      <c r="AA8" s="54" t="e">
        <f>IF(AND('Mapa final'!#REF!="Muy Alta",'Mapa final'!#REF!="Moderado"),CONCATENATE("R3C",'Mapa final'!#REF!),"")</f>
        <v>#REF!</v>
      </c>
      <c r="AB8" s="52" t="str">
        <f>IF(AND('Mapa final'!$Z$16="Muy Alta",'Mapa final'!$AB$16="Mayor"),CONCATENATE("R3C",'Mapa final'!$P$16),"")</f>
        <v/>
      </c>
      <c r="AC8" s="53" t="str">
        <f>IF(AND('Mapa final'!$Z$17="Muy Alta",'Mapa final'!$AB$17="Mayor"),CONCATENATE("R3C",'Mapa final'!$P$17),"")</f>
        <v/>
      </c>
      <c r="AD8" s="53" t="str">
        <f>IF(AND('Mapa final'!$Z$18="Muy Alta",'Mapa final'!$AB$18="Mayor"),CONCATENATE("R3C",'Mapa final'!$P$18),"")</f>
        <v/>
      </c>
      <c r="AE8" s="53" t="e">
        <f>IF(AND('Mapa final'!#REF!="Muy Alta",'Mapa final'!#REF!="Mayor"),CONCATENATE("R3C",'Mapa final'!#REF!),"")</f>
        <v>#REF!</v>
      </c>
      <c r="AF8" s="53" t="e">
        <f>IF(AND('Mapa final'!#REF!="Muy Alta",'Mapa final'!#REF!="Mayor"),CONCATENATE("R3C",'Mapa final'!#REF!),"")</f>
        <v>#REF!</v>
      </c>
      <c r="AG8" s="54" t="e">
        <f>IF(AND('Mapa final'!#REF!="Muy Alta",'Mapa final'!#REF!="Mayor"),CONCATENATE("R3C",'Mapa final'!#REF!),"")</f>
        <v>#REF!</v>
      </c>
      <c r="AH8" s="55" t="str">
        <f>IF(AND('Mapa final'!$Z$16="Muy Alta",'Mapa final'!$AB$16="Catastrófico"),CONCATENATE("R3C",'Mapa final'!$P$16),"")</f>
        <v/>
      </c>
      <c r="AI8" s="56" t="str">
        <f>IF(AND('Mapa final'!$Z$17="Muy Alta",'Mapa final'!$AB$17="Catastrófico"),CONCATENATE("R3C",'Mapa final'!$P$17),"")</f>
        <v/>
      </c>
      <c r="AJ8" s="56" t="str">
        <f>IF(AND('Mapa final'!$Z$18="Muy Alta",'Mapa final'!$AB$18="Catastrófico"),CONCATENATE("R3C",'Mapa final'!$P$18),"")</f>
        <v/>
      </c>
      <c r="AK8" s="56" t="e">
        <f>IF(AND('Mapa final'!#REF!="Muy Alta",'Mapa final'!#REF!="Catastrófico"),CONCATENATE("R3C",'Mapa final'!#REF!),"")</f>
        <v>#REF!</v>
      </c>
      <c r="AL8" s="56" t="e">
        <f>IF(AND('Mapa final'!#REF!="Muy Alta",'Mapa final'!#REF!="Catastrófico"),CONCATENATE("R3C",'Mapa final'!#REF!),"")</f>
        <v>#REF!</v>
      </c>
      <c r="AM8" s="57" t="e">
        <f>IF(AND('Mapa final'!#REF!="Muy Alta",'Mapa final'!#REF!="Catastrófico"),CONCATENATE("R3C",'Mapa final'!#REF!),"")</f>
        <v>#REF!</v>
      </c>
      <c r="AN8" s="83"/>
      <c r="AO8" s="341"/>
      <c r="AP8" s="342"/>
      <c r="AQ8" s="342"/>
      <c r="AR8" s="342"/>
      <c r="AS8" s="342"/>
      <c r="AT8" s="34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236"/>
      <c r="C9" s="236"/>
      <c r="D9" s="237"/>
      <c r="E9" s="335"/>
      <c r="F9" s="334"/>
      <c r="G9" s="334"/>
      <c r="H9" s="334"/>
      <c r="I9" s="350"/>
      <c r="J9" s="52" t="str">
        <f>IF(AND('Mapa final'!$Z$19="Muy Alta",'Mapa final'!$AB$19="Leve"),CONCATENATE("R4C",'Mapa final'!$P$19),"")</f>
        <v/>
      </c>
      <c r="K9" s="53" t="str">
        <f>IF(AND('Mapa final'!$Z$20="Muy Alta",'Mapa final'!$AB$20="Leve"),CONCATENATE("R4C",'Mapa final'!$P$20),"")</f>
        <v/>
      </c>
      <c r="L9" s="53" t="str">
        <f>IF(AND('Mapa final'!$Z$21="Muy Alta",'Mapa final'!$AB$21="Leve"),CONCATENATE("R4C",'Mapa final'!$P$21),"")</f>
        <v/>
      </c>
      <c r="M9" s="53" t="e">
        <f>IF(AND('Mapa final'!#REF!="Muy Alta",'Mapa final'!#REF!="Leve"),CONCATENATE("R4C",'Mapa final'!#REF!),"")</f>
        <v>#REF!</v>
      </c>
      <c r="N9" s="53" t="e">
        <f>IF(AND('Mapa final'!#REF!="Muy Alta",'Mapa final'!#REF!="Leve"),CONCATENATE("R4C",'Mapa final'!#REF!),"")</f>
        <v>#REF!</v>
      </c>
      <c r="O9" s="54" t="e">
        <f>IF(AND('Mapa final'!#REF!="Muy Alta",'Mapa final'!#REF!="Leve"),CONCATENATE("R4C",'Mapa final'!#REF!),"")</f>
        <v>#REF!</v>
      </c>
      <c r="P9" s="52" t="str">
        <f>IF(AND('Mapa final'!$Z$19="Muy Alta",'Mapa final'!$AB$19="Menor"),CONCATENATE("R4C",'Mapa final'!$P$19),"")</f>
        <v/>
      </c>
      <c r="Q9" s="53" t="str">
        <f>IF(AND('Mapa final'!$Z$20="Muy Alta",'Mapa final'!$AB$20="Menor"),CONCATENATE("R4C",'Mapa final'!$P$20),"")</f>
        <v/>
      </c>
      <c r="R9" s="53" t="str">
        <f>IF(AND('Mapa final'!$Z$21="Muy Alta",'Mapa final'!$AB$21="Menor"),CONCATENATE("R4C",'Mapa final'!$P$21),"")</f>
        <v/>
      </c>
      <c r="S9" s="53" t="e">
        <f>IF(AND('Mapa final'!#REF!="Muy Alta",'Mapa final'!#REF!="Menor"),CONCATENATE("R4C",'Mapa final'!#REF!),"")</f>
        <v>#REF!</v>
      </c>
      <c r="T9" s="53" t="e">
        <f>IF(AND('Mapa final'!#REF!="Muy Alta",'Mapa final'!#REF!="Menor"),CONCATENATE("R4C",'Mapa final'!#REF!),"")</f>
        <v>#REF!</v>
      </c>
      <c r="U9" s="54" t="e">
        <f>IF(AND('Mapa final'!#REF!="Muy Alta",'Mapa final'!#REF!="Menor"),CONCATENATE("R4C",'Mapa final'!#REF!),"")</f>
        <v>#REF!</v>
      </c>
      <c r="V9" s="52" t="str">
        <f>IF(AND('Mapa final'!$Z$19="Muy Alta",'Mapa final'!$AB$19="Moderado"),CONCATENATE("R4C",'Mapa final'!$P$19),"")</f>
        <v/>
      </c>
      <c r="W9" s="53" t="str">
        <f>IF(AND('Mapa final'!$Z$20="Muy Alta",'Mapa final'!$AB$20="Moderado"),CONCATENATE("R4C",'Mapa final'!$P$20),"")</f>
        <v/>
      </c>
      <c r="X9" s="53" t="str">
        <f>IF(AND('Mapa final'!$Z$21="Muy Alta",'Mapa final'!$AB$21="Moderado"),CONCATENATE("R4C",'Mapa final'!$P$21),"")</f>
        <v/>
      </c>
      <c r="Y9" s="53" t="e">
        <f>IF(AND('Mapa final'!#REF!="Muy Alta",'Mapa final'!#REF!="Moderado"),CONCATENATE("R4C",'Mapa final'!#REF!),"")</f>
        <v>#REF!</v>
      </c>
      <c r="Z9" s="53" t="e">
        <f>IF(AND('Mapa final'!#REF!="Muy Alta",'Mapa final'!#REF!="Moderado"),CONCATENATE("R4C",'Mapa final'!#REF!),"")</f>
        <v>#REF!</v>
      </c>
      <c r="AA9" s="54" t="e">
        <f>IF(AND('Mapa final'!#REF!="Muy Alta",'Mapa final'!#REF!="Moderado"),CONCATENATE("R4C",'Mapa final'!#REF!),"")</f>
        <v>#REF!</v>
      </c>
      <c r="AB9" s="52" t="str">
        <f>IF(AND('Mapa final'!$Z$19="Muy Alta",'Mapa final'!$AB$19="Mayor"),CONCATENATE("R4C",'Mapa final'!$P$19),"")</f>
        <v/>
      </c>
      <c r="AC9" s="53" t="str">
        <f>IF(AND('Mapa final'!$Z$20="Muy Alta",'Mapa final'!$AB$20="Mayor"),CONCATENATE("R4C",'Mapa final'!$P$20),"")</f>
        <v/>
      </c>
      <c r="AD9" s="53" t="str">
        <f>IF(AND('Mapa final'!$Z$21="Muy Alta",'Mapa final'!$AB$21="Mayor"),CONCATENATE("R4C",'Mapa final'!$P$21),"")</f>
        <v/>
      </c>
      <c r="AE9" s="53" t="e">
        <f>IF(AND('Mapa final'!#REF!="Muy Alta",'Mapa final'!#REF!="Mayor"),CONCATENATE("R4C",'Mapa final'!#REF!),"")</f>
        <v>#REF!</v>
      </c>
      <c r="AF9" s="53" t="e">
        <f>IF(AND('Mapa final'!#REF!="Muy Alta",'Mapa final'!#REF!="Mayor"),CONCATENATE("R4C",'Mapa final'!#REF!),"")</f>
        <v>#REF!</v>
      </c>
      <c r="AG9" s="54" t="e">
        <f>IF(AND('Mapa final'!#REF!="Muy Alta",'Mapa final'!#REF!="Mayor"),CONCATENATE("R4C",'Mapa final'!#REF!),"")</f>
        <v>#REF!</v>
      </c>
      <c r="AH9" s="55" t="str">
        <f>IF(AND('Mapa final'!$Z$19="Muy Alta",'Mapa final'!$AB$19="Catastrófico"),CONCATENATE("R4C",'Mapa final'!$P$19),"")</f>
        <v/>
      </c>
      <c r="AI9" s="56" t="str">
        <f>IF(AND('Mapa final'!$Z$20="Muy Alta",'Mapa final'!$AB$20="Catastrófico"),CONCATENATE("R4C",'Mapa final'!$P$20),"")</f>
        <v/>
      </c>
      <c r="AJ9" s="56" t="str">
        <f>IF(AND('Mapa final'!$Z$21="Muy Alta",'Mapa final'!$AB$21="Catastrófico"),CONCATENATE("R4C",'Mapa final'!$P$21),"")</f>
        <v/>
      </c>
      <c r="AK9" s="56" t="e">
        <f>IF(AND('Mapa final'!#REF!="Muy Alta",'Mapa final'!#REF!="Catastrófico"),CONCATENATE("R4C",'Mapa final'!#REF!),"")</f>
        <v>#REF!</v>
      </c>
      <c r="AL9" s="56" t="e">
        <f>IF(AND('Mapa final'!#REF!="Muy Alta",'Mapa final'!#REF!="Catastrófico"),CONCATENATE("R4C",'Mapa final'!#REF!),"")</f>
        <v>#REF!</v>
      </c>
      <c r="AM9" s="57" t="e">
        <f>IF(AND('Mapa final'!#REF!="Muy Alta",'Mapa final'!#REF!="Catastrófico"),CONCATENATE("R4C",'Mapa final'!#REF!),"")</f>
        <v>#REF!</v>
      </c>
      <c r="AN9" s="83"/>
      <c r="AO9" s="341"/>
      <c r="AP9" s="342"/>
      <c r="AQ9" s="342"/>
      <c r="AR9" s="342"/>
      <c r="AS9" s="342"/>
      <c r="AT9" s="34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236"/>
      <c r="C10" s="236"/>
      <c r="D10" s="237"/>
      <c r="E10" s="335"/>
      <c r="F10" s="334"/>
      <c r="G10" s="334"/>
      <c r="H10" s="334"/>
      <c r="I10" s="350"/>
      <c r="J10" s="52" t="e">
        <f>IF(AND('Mapa final'!#REF!="Muy Alta",'Mapa final'!#REF!="Leve"),CONCATENATE("R5C",'Mapa final'!#REF!),"")</f>
        <v>#REF!</v>
      </c>
      <c r="K10" s="53" t="e">
        <f>IF(AND('Mapa final'!#REF!="Muy Alta",'Mapa final'!#REF!="Leve"),CONCATENATE("R5C",'Mapa final'!#REF!),"")</f>
        <v>#REF!</v>
      </c>
      <c r="L10" s="53" t="e">
        <f>IF(AND('Mapa final'!#REF!="Muy Alta",'Mapa final'!#REF!="Leve"),CONCATENATE("R5C",'Mapa final'!#REF!),"")</f>
        <v>#REF!</v>
      </c>
      <c r="M10" s="53" t="e">
        <f>IF(AND('Mapa final'!#REF!="Muy Alta",'Mapa final'!#REF!="Leve"),CONCATENATE("R5C",'Mapa final'!#REF!),"")</f>
        <v>#REF!</v>
      </c>
      <c r="N10" s="53" t="e">
        <f>IF(AND('Mapa final'!#REF!="Muy Alta",'Mapa final'!#REF!="Leve"),CONCATENATE("R5C",'Mapa final'!#REF!),"")</f>
        <v>#REF!</v>
      </c>
      <c r="O10" s="54" t="e">
        <f>IF(AND('Mapa final'!#REF!="Muy Alta",'Mapa final'!#REF!="Leve"),CONCATENATE("R5C",'Mapa final'!#REF!),"")</f>
        <v>#REF!</v>
      </c>
      <c r="P10" s="52" t="e">
        <f>IF(AND('Mapa final'!#REF!="Muy Alta",'Mapa final'!#REF!="Menor"),CONCATENATE("R5C",'Mapa final'!#REF!),"")</f>
        <v>#REF!</v>
      </c>
      <c r="Q10" s="53" t="e">
        <f>IF(AND('Mapa final'!#REF!="Muy Alta",'Mapa final'!#REF!="Menor"),CONCATENATE("R5C",'Mapa final'!#REF!),"")</f>
        <v>#REF!</v>
      </c>
      <c r="R10" s="53" t="e">
        <f>IF(AND('Mapa final'!#REF!="Muy Alta",'Mapa final'!#REF!="Menor"),CONCATENATE("R5C",'Mapa final'!#REF!),"")</f>
        <v>#REF!</v>
      </c>
      <c r="S10" s="53" t="e">
        <f>IF(AND('Mapa final'!#REF!="Muy Alta",'Mapa final'!#REF!="Menor"),CONCATENATE("R5C",'Mapa final'!#REF!),"")</f>
        <v>#REF!</v>
      </c>
      <c r="T10" s="53" t="e">
        <f>IF(AND('Mapa final'!#REF!="Muy Alta",'Mapa final'!#REF!="Menor"),CONCATENATE("R5C",'Mapa final'!#REF!),"")</f>
        <v>#REF!</v>
      </c>
      <c r="U10" s="54" t="e">
        <f>IF(AND('Mapa final'!#REF!="Muy Alta",'Mapa final'!#REF!="Menor"),CONCATENATE("R5C",'Mapa final'!#REF!),"")</f>
        <v>#REF!</v>
      </c>
      <c r="V10" s="52" t="e">
        <f>IF(AND('Mapa final'!#REF!="Muy Alta",'Mapa final'!#REF!="Moderado"),CONCATENATE("R5C",'Mapa final'!#REF!),"")</f>
        <v>#REF!</v>
      </c>
      <c r="W10" s="53" t="e">
        <f>IF(AND('Mapa final'!#REF!="Muy Alta",'Mapa final'!#REF!="Moderado"),CONCATENATE("R5C",'Mapa final'!#REF!),"")</f>
        <v>#REF!</v>
      </c>
      <c r="X10" s="53" t="e">
        <f>IF(AND('Mapa final'!#REF!="Muy Alta",'Mapa final'!#REF!="Moderado"),CONCATENATE("R5C",'Mapa final'!#REF!),"")</f>
        <v>#REF!</v>
      </c>
      <c r="Y10" s="53" t="e">
        <f>IF(AND('Mapa final'!#REF!="Muy Alta",'Mapa final'!#REF!="Moderado"),CONCATENATE("R5C",'Mapa final'!#REF!),"")</f>
        <v>#REF!</v>
      </c>
      <c r="Z10" s="53" t="e">
        <f>IF(AND('Mapa final'!#REF!="Muy Alta",'Mapa final'!#REF!="Moderado"),CONCATENATE("R5C",'Mapa final'!#REF!),"")</f>
        <v>#REF!</v>
      </c>
      <c r="AA10" s="54" t="e">
        <f>IF(AND('Mapa final'!#REF!="Muy Alta",'Mapa final'!#REF!="Moderado"),CONCATENATE("R5C",'Mapa final'!#REF!),"")</f>
        <v>#REF!</v>
      </c>
      <c r="AB10" s="52" t="e">
        <f>IF(AND('Mapa final'!#REF!="Muy Alta",'Mapa final'!#REF!="Mayor"),CONCATENATE("R5C",'Mapa final'!#REF!),"")</f>
        <v>#REF!</v>
      </c>
      <c r="AC10" s="53" t="e">
        <f>IF(AND('Mapa final'!#REF!="Muy Alta",'Mapa final'!#REF!="Mayor"),CONCATENATE("R5C",'Mapa final'!#REF!),"")</f>
        <v>#REF!</v>
      </c>
      <c r="AD10" s="53" t="e">
        <f>IF(AND('Mapa final'!#REF!="Muy Alta",'Mapa final'!#REF!="Mayor"),CONCATENATE("R5C",'Mapa final'!#REF!),"")</f>
        <v>#REF!</v>
      </c>
      <c r="AE10" s="53" t="e">
        <f>IF(AND('Mapa final'!#REF!="Muy Alta",'Mapa final'!#REF!="Mayor"),CONCATENATE("R5C",'Mapa final'!#REF!),"")</f>
        <v>#REF!</v>
      </c>
      <c r="AF10" s="53" t="e">
        <f>IF(AND('Mapa final'!#REF!="Muy Alta",'Mapa final'!#REF!="Mayor"),CONCATENATE("R5C",'Mapa final'!#REF!),"")</f>
        <v>#REF!</v>
      </c>
      <c r="AG10" s="54" t="e">
        <f>IF(AND('Mapa final'!#REF!="Muy Alta",'Mapa final'!#REF!="Mayor"),CONCATENATE("R5C",'Mapa final'!#REF!),"")</f>
        <v>#REF!</v>
      </c>
      <c r="AH10" s="55" t="e">
        <f>IF(AND('Mapa final'!#REF!="Muy Alta",'Mapa final'!#REF!="Catastrófico"),CONCATENATE("R5C",'Mapa final'!#REF!),"")</f>
        <v>#REF!</v>
      </c>
      <c r="AI10" s="56" t="e">
        <f>IF(AND('Mapa final'!#REF!="Muy Alta",'Mapa final'!#REF!="Catastrófico"),CONCATENATE("R5C",'Mapa final'!#REF!),"")</f>
        <v>#REF!</v>
      </c>
      <c r="AJ10" s="56" t="e">
        <f>IF(AND('Mapa final'!#REF!="Muy Alta",'Mapa final'!#REF!="Catastrófico"),CONCATENATE("R5C",'Mapa final'!#REF!),"")</f>
        <v>#REF!</v>
      </c>
      <c r="AK10" s="56" t="e">
        <f>IF(AND('Mapa final'!#REF!="Muy Alta",'Mapa final'!#REF!="Catastrófico"),CONCATENATE("R5C",'Mapa final'!#REF!),"")</f>
        <v>#REF!</v>
      </c>
      <c r="AL10" s="56" t="e">
        <f>IF(AND('Mapa final'!#REF!="Muy Alta",'Mapa final'!#REF!="Catastrófico"),CONCATENATE("R5C",'Mapa final'!#REF!),"")</f>
        <v>#REF!</v>
      </c>
      <c r="AM10" s="57" t="e">
        <f>IF(AND('Mapa final'!#REF!="Muy Alta",'Mapa final'!#REF!="Catastrófico"),CONCATENATE("R5C",'Mapa final'!#REF!),"")</f>
        <v>#REF!</v>
      </c>
      <c r="AN10" s="83"/>
      <c r="AO10" s="341"/>
      <c r="AP10" s="342"/>
      <c r="AQ10" s="342"/>
      <c r="AR10" s="342"/>
      <c r="AS10" s="342"/>
      <c r="AT10" s="34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236"/>
      <c r="C11" s="236"/>
      <c r="D11" s="237"/>
      <c r="E11" s="335"/>
      <c r="F11" s="334"/>
      <c r="G11" s="334"/>
      <c r="H11" s="334"/>
      <c r="I11" s="350"/>
      <c r="J11" s="52" t="str">
        <f>IF(AND('Mapa final'!$Z$22="Muy Alta",'Mapa final'!$AB$22="Leve"),CONCATENATE("R6C",'Mapa final'!$P$22),"")</f>
        <v/>
      </c>
      <c r="K11" s="53" t="str">
        <f>IF(AND('Mapa final'!$Z$23="Muy Alta",'Mapa final'!$AB$23="Leve"),CONCATENATE("R6C",'Mapa final'!$P$23),"")</f>
        <v/>
      </c>
      <c r="L11" s="53" t="str">
        <f>IF(AND('Mapa final'!$Z$24="Muy Alta",'Mapa final'!$AB$24="Leve"),CONCATENATE("R6C",'Mapa final'!$P$24),"")</f>
        <v/>
      </c>
      <c r="M11" s="53" t="e">
        <f>IF(AND('Mapa final'!#REF!="Muy Alta",'Mapa final'!#REF!="Leve"),CONCATENATE("R6C",'Mapa final'!#REF!),"")</f>
        <v>#REF!</v>
      </c>
      <c r="N11" s="53" t="e">
        <f>IF(AND('Mapa final'!#REF!="Muy Alta",'Mapa final'!#REF!="Leve"),CONCATENATE("R6C",'Mapa final'!#REF!),"")</f>
        <v>#REF!</v>
      </c>
      <c r="O11" s="54" t="e">
        <f>IF(AND('Mapa final'!#REF!="Muy Alta",'Mapa final'!#REF!="Leve"),CONCATENATE("R6C",'Mapa final'!#REF!),"")</f>
        <v>#REF!</v>
      </c>
      <c r="P11" s="52" t="str">
        <f>IF(AND('Mapa final'!$Z$22="Muy Alta",'Mapa final'!$AB$22="Menor"),CONCATENATE("R6C",'Mapa final'!$P$22),"")</f>
        <v/>
      </c>
      <c r="Q11" s="53" t="str">
        <f>IF(AND('Mapa final'!$Z$23="Muy Alta",'Mapa final'!$AB$23="Menor"),CONCATENATE("R6C",'Mapa final'!$P$23),"")</f>
        <v/>
      </c>
      <c r="R11" s="53" t="str">
        <f>IF(AND('Mapa final'!$Z$24="Muy Alta",'Mapa final'!$AB$24="Menor"),CONCATENATE("R6C",'Mapa final'!$P$24),"")</f>
        <v/>
      </c>
      <c r="S11" s="53" t="e">
        <f>IF(AND('Mapa final'!#REF!="Muy Alta",'Mapa final'!#REF!="Menor"),CONCATENATE("R6C",'Mapa final'!#REF!),"")</f>
        <v>#REF!</v>
      </c>
      <c r="T11" s="53" t="e">
        <f>IF(AND('Mapa final'!#REF!="Muy Alta",'Mapa final'!#REF!="Menor"),CONCATENATE("R6C",'Mapa final'!#REF!),"")</f>
        <v>#REF!</v>
      </c>
      <c r="U11" s="54" t="e">
        <f>IF(AND('Mapa final'!#REF!="Muy Alta",'Mapa final'!#REF!="Menor"),CONCATENATE("R6C",'Mapa final'!#REF!),"")</f>
        <v>#REF!</v>
      </c>
      <c r="V11" s="52" t="str">
        <f>IF(AND('Mapa final'!$Z$22="Muy Alta",'Mapa final'!$AB$22="Moderado"),CONCATENATE("R6C",'Mapa final'!$P$22),"")</f>
        <v/>
      </c>
      <c r="W11" s="53" t="str">
        <f>IF(AND('Mapa final'!$Z$23="Muy Alta",'Mapa final'!$AB$23="Moderado"),CONCATENATE("R6C",'Mapa final'!$P$23),"")</f>
        <v/>
      </c>
      <c r="X11" s="53" t="str">
        <f>IF(AND('Mapa final'!$Z$24="Muy Alta",'Mapa final'!$AB$24="Moderado"),CONCATENATE("R6C",'Mapa final'!$P$24),"")</f>
        <v/>
      </c>
      <c r="Y11" s="53" t="e">
        <f>IF(AND('Mapa final'!#REF!="Muy Alta",'Mapa final'!#REF!="Moderado"),CONCATENATE("R6C",'Mapa final'!#REF!),"")</f>
        <v>#REF!</v>
      </c>
      <c r="Z11" s="53" t="e">
        <f>IF(AND('Mapa final'!#REF!="Muy Alta",'Mapa final'!#REF!="Moderado"),CONCATENATE("R6C",'Mapa final'!#REF!),"")</f>
        <v>#REF!</v>
      </c>
      <c r="AA11" s="54" t="e">
        <f>IF(AND('Mapa final'!#REF!="Muy Alta",'Mapa final'!#REF!="Moderado"),CONCATENATE("R6C",'Mapa final'!#REF!),"")</f>
        <v>#REF!</v>
      </c>
      <c r="AB11" s="52" t="str">
        <f>IF(AND('Mapa final'!$Z$22="Muy Alta",'Mapa final'!$AB$22="Mayor"),CONCATENATE("R6C",'Mapa final'!$P$22),"")</f>
        <v/>
      </c>
      <c r="AC11" s="53" t="str">
        <f>IF(AND('Mapa final'!$Z$23="Muy Alta",'Mapa final'!$AB$23="Mayor"),CONCATENATE("R6C",'Mapa final'!$P$23),"")</f>
        <v/>
      </c>
      <c r="AD11" s="53" t="str">
        <f>IF(AND('Mapa final'!$Z$24="Muy Alta",'Mapa final'!$AB$24="Mayor"),CONCATENATE("R6C",'Mapa final'!$P$24),"")</f>
        <v/>
      </c>
      <c r="AE11" s="53" t="e">
        <f>IF(AND('Mapa final'!#REF!="Muy Alta",'Mapa final'!#REF!="Mayor"),CONCATENATE("R6C",'Mapa final'!#REF!),"")</f>
        <v>#REF!</v>
      </c>
      <c r="AF11" s="53" t="e">
        <f>IF(AND('Mapa final'!#REF!="Muy Alta",'Mapa final'!#REF!="Mayor"),CONCATENATE("R6C",'Mapa final'!#REF!),"")</f>
        <v>#REF!</v>
      </c>
      <c r="AG11" s="54" t="e">
        <f>IF(AND('Mapa final'!#REF!="Muy Alta",'Mapa final'!#REF!="Mayor"),CONCATENATE("R6C",'Mapa final'!#REF!),"")</f>
        <v>#REF!</v>
      </c>
      <c r="AH11" s="55" t="str">
        <f>IF(AND('Mapa final'!$Z$22="Muy Alta",'Mapa final'!$AB$22="Catastrófico"),CONCATENATE("R6C",'Mapa final'!$P$22),"")</f>
        <v/>
      </c>
      <c r="AI11" s="56" t="str">
        <f>IF(AND('Mapa final'!$Z$23="Muy Alta",'Mapa final'!$AB$23="Catastrófico"),CONCATENATE("R6C",'Mapa final'!$P$23),"")</f>
        <v/>
      </c>
      <c r="AJ11" s="56" t="str">
        <f>IF(AND('Mapa final'!$Z$24="Muy Alta",'Mapa final'!$AB$24="Catastrófico"),CONCATENATE("R6C",'Mapa final'!$P$24),"")</f>
        <v/>
      </c>
      <c r="AK11" s="56" t="e">
        <f>IF(AND('Mapa final'!#REF!="Muy Alta",'Mapa final'!#REF!="Catastrófico"),CONCATENATE("R6C",'Mapa final'!#REF!),"")</f>
        <v>#REF!</v>
      </c>
      <c r="AL11" s="56" t="e">
        <f>IF(AND('Mapa final'!#REF!="Muy Alta",'Mapa final'!#REF!="Catastrófico"),CONCATENATE("R6C",'Mapa final'!#REF!),"")</f>
        <v>#REF!</v>
      </c>
      <c r="AM11" s="57" t="e">
        <f>IF(AND('Mapa final'!#REF!="Muy Alta",'Mapa final'!#REF!="Catastrófico"),CONCATENATE("R6C",'Mapa final'!#REF!),"")</f>
        <v>#REF!</v>
      </c>
      <c r="AN11" s="83"/>
      <c r="AO11" s="341"/>
      <c r="AP11" s="342"/>
      <c r="AQ11" s="342"/>
      <c r="AR11" s="342"/>
      <c r="AS11" s="342"/>
      <c r="AT11" s="34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236"/>
      <c r="C12" s="236"/>
      <c r="D12" s="237"/>
      <c r="E12" s="335"/>
      <c r="F12" s="334"/>
      <c r="G12" s="334"/>
      <c r="H12" s="334"/>
      <c r="I12" s="350"/>
      <c r="J12" s="52" t="e">
        <f>IF(AND('Mapa final'!#REF!="Muy Alta",'Mapa final'!#REF!="Leve"),CONCATENATE("R7C",'Mapa final'!#REF!),"")</f>
        <v>#REF!</v>
      </c>
      <c r="K12" s="53" t="e">
        <f>IF(AND('Mapa final'!#REF!="Muy Alta",'Mapa final'!#REF!="Leve"),CONCATENATE("R7C",'Mapa final'!#REF!),"")</f>
        <v>#REF!</v>
      </c>
      <c r="L12" s="53" t="e">
        <f>IF(AND('Mapa final'!#REF!="Muy Alta",'Mapa final'!#REF!="Leve"),CONCATENATE("R7C",'Mapa final'!#REF!),"")</f>
        <v>#REF!</v>
      </c>
      <c r="M12" s="53" t="e">
        <f>IF(AND('Mapa final'!#REF!="Muy Alta",'Mapa final'!#REF!="Leve"),CONCATENATE("R7C",'Mapa final'!#REF!),"")</f>
        <v>#REF!</v>
      </c>
      <c r="N12" s="53" t="e">
        <f>IF(AND('Mapa final'!#REF!="Muy Alta",'Mapa final'!#REF!="Leve"),CONCATENATE("R7C",'Mapa final'!#REF!),"")</f>
        <v>#REF!</v>
      </c>
      <c r="O12" s="54" t="e">
        <f>IF(AND('Mapa final'!#REF!="Muy Alta",'Mapa final'!#REF!="Leve"),CONCATENATE("R7C",'Mapa final'!#REF!),"")</f>
        <v>#REF!</v>
      </c>
      <c r="P12" s="52" t="e">
        <f>IF(AND('Mapa final'!#REF!="Muy Alta",'Mapa final'!#REF!="Menor"),CONCATENATE("R7C",'Mapa final'!#REF!),"")</f>
        <v>#REF!</v>
      </c>
      <c r="Q12" s="53" t="e">
        <f>IF(AND('Mapa final'!#REF!="Muy Alta",'Mapa final'!#REF!="Menor"),CONCATENATE("R7C",'Mapa final'!#REF!),"")</f>
        <v>#REF!</v>
      </c>
      <c r="R12" s="53" t="e">
        <f>IF(AND('Mapa final'!#REF!="Muy Alta",'Mapa final'!#REF!="Menor"),CONCATENATE("R7C",'Mapa final'!#REF!),"")</f>
        <v>#REF!</v>
      </c>
      <c r="S12" s="53" t="e">
        <f>IF(AND('Mapa final'!#REF!="Muy Alta",'Mapa final'!#REF!="Menor"),CONCATENATE("R7C",'Mapa final'!#REF!),"")</f>
        <v>#REF!</v>
      </c>
      <c r="T12" s="53" t="e">
        <f>IF(AND('Mapa final'!#REF!="Muy Alta",'Mapa final'!#REF!="Menor"),CONCATENATE("R7C",'Mapa final'!#REF!),"")</f>
        <v>#REF!</v>
      </c>
      <c r="U12" s="54" t="e">
        <f>IF(AND('Mapa final'!#REF!="Muy Alta",'Mapa final'!#REF!="Menor"),CONCATENATE("R7C",'Mapa final'!#REF!),"")</f>
        <v>#REF!</v>
      </c>
      <c r="V12" s="52" t="e">
        <f>IF(AND('Mapa final'!#REF!="Muy Alta",'Mapa final'!#REF!="Moderado"),CONCATENATE("R7C",'Mapa final'!#REF!),"")</f>
        <v>#REF!</v>
      </c>
      <c r="W12" s="53" t="e">
        <f>IF(AND('Mapa final'!#REF!="Muy Alta",'Mapa final'!#REF!="Moderado"),CONCATENATE("R7C",'Mapa final'!#REF!),"")</f>
        <v>#REF!</v>
      </c>
      <c r="X12" s="53" t="e">
        <f>IF(AND('Mapa final'!#REF!="Muy Alta",'Mapa final'!#REF!="Moderado"),CONCATENATE("R7C",'Mapa final'!#REF!),"")</f>
        <v>#REF!</v>
      </c>
      <c r="Y12" s="53" t="e">
        <f>IF(AND('Mapa final'!#REF!="Muy Alta",'Mapa final'!#REF!="Moderado"),CONCATENATE("R7C",'Mapa final'!#REF!),"")</f>
        <v>#REF!</v>
      </c>
      <c r="Z12" s="53" t="e">
        <f>IF(AND('Mapa final'!#REF!="Muy Alta",'Mapa final'!#REF!="Moderado"),CONCATENATE("R7C",'Mapa final'!#REF!),"")</f>
        <v>#REF!</v>
      </c>
      <c r="AA12" s="54" t="e">
        <f>IF(AND('Mapa final'!#REF!="Muy Alta",'Mapa final'!#REF!="Moderado"),CONCATENATE("R7C",'Mapa final'!#REF!),"")</f>
        <v>#REF!</v>
      </c>
      <c r="AB12" s="52" t="e">
        <f>IF(AND('Mapa final'!#REF!="Muy Alta",'Mapa final'!#REF!="Mayor"),CONCATENATE("R7C",'Mapa final'!#REF!),"")</f>
        <v>#REF!</v>
      </c>
      <c r="AC12" s="53" t="e">
        <f>IF(AND('Mapa final'!#REF!="Muy Alta",'Mapa final'!#REF!="Mayor"),CONCATENATE("R7C",'Mapa final'!#REF!),"")</f>
        <v>#REF!</v>
      </c>
      <c r="AD12" s="53" t="e">
        <f>IF(AND('Mapa final'!#REF!="Muy Alta",'Mapa final'!#REF!="Mayor"),CONCATENATE("R7C",'Mapa final'!#REF!),"")</f>
        <v>#REF!</v>
      </c>
      <c r="AE12" s="53" t="e">
        <f>IF(AND('Mapa final'!#REF!="Muy Alta",'Mapa final'!#REF!="Mayor"),CONCATENATE("R7C",'Mapa final'!#REF!),"")</f>
        <v>#REF!</v>
      </c>
      <c r="AF12" s="53" t="e">
        <f>IF(AND('Mapa final'!#REF!="Muy Alta",'Mapa final'!#REF!="Mayor"),CONCATENATE("R7C",'Mapa final'!#REF!),"")</f>
        <v>#REF!</v>
      </c>
      <c r="AG12" s="54" t="e">
        <f>IF(AND('Mapa final'!#REF!="Muy Alta",'Mapa final'!#REF!="Mayor"),CONCATENATE("R7C",'Mapa final'!#REF!),"")</f>
        <v>#REF!</v>
      </c>
      <c r="AH12" s="55" t="e">
        <f>IF(AND('Mapa final'!#REF!="Muy Alta",'Mapa final'!#REF!="Catastrófico"),CONCATENATE("R7C",'Mapa final'!#REF!),"")</f>
        <v>#REF!</v>
      </c>
      <c r="AI12" s="56" t="e">
        <f>IF(AND('Mapa final'!#REF!="Muy Alta",'Mapa final'!#REF!="Catastrófico"),CONCATENATE("R7C",'Mapa final'!#REF!),"")</f>
        <v>#REF!</v>
      </c>
      <c r="AJ12" s="56" t="e">
        <f>IF(AND('Mapa final'!#REF!="Muy Alta",'Mapa final'!#REF!="Catastrófico"),CONCATENATE("R7C",'Mapa final'!#REF!),"")</f>
        <v>#REF!</v>
      </c>
      <c r="AK12" s="56" t="e">
        <f>IF(AND('Mapa final'!#REF!="Muy Alta",'Mapa final'!#REF!="Catastrófico"),CONCATENATE("R7C",'Mapa final'!#REF!),"")</f>
        <v>#REF!</v>
      </c>
      <c r="AL12" s="56" t="e">
        <f>IF(AND('Mapa final'!#REF!="Muy Alta",'Mapa final'!#REF!="Catastrófico"),CONCATENATE("R7C",'Mapa final'!#REF!),"")</f>
        <v>#REF!</v>
      </c>
      <c r="AM12" s="57" t="e">
        <f>IF(AND('Mapa final'!#REF!="Muy Alta",'Mapa final'!#REF!="Catastrófico"),CONCATENATE("R7C",'Mapa final'!#REF!),"")</f>
        <v>#REF!</v>
      </c>
      <c r="AN12" s="83"/>
      <c r="AO12" s="341"/>
      <c r="AP12" s="342"/>
      <c r="AQ12" s="342"/>
      <c r="AR12" s="342"/>
      <c r="AS12" s="342"/>
      <c r="AT12" s="34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236"/>
      <c r="C13" s="236"/>
      <c r="D13" s="237"/>
      <c r="E13" s="335"/>
      <c r="F13" s="334"/>
      <c r="G13" s="334"/>
      <c r="H13" s="334"/>
      <c r="I13" s="350"/>
      <c r="J13" s="52" t="e">
        <f>IF(AND('Mapa final'!#REF!="Muy Alta",'Mapa final'!#REF!="Leve"),CONCATENATE("R8C",'Mapa final'!#REF!),"")</f>
        <v>#REF!</v>
      </c>
      <c r="K13" s="53" t="e">
        <f>IF(AND('Mapa final'!#REF!="Muy Alta",'Mapa final'!#REF!="Leve"),CONCATENATE("R8C",'Mapa final'!#REF!),"")</f>
        <v>#REF!</v>
      </c>
      <c r="L13" s="53" t="e">
        <f>IF(AND('Mapa final'!#REF!="Muy Alta",'Mapa final'!#REF!="Leve"),CONCATENATE("R8C",'Mapa final'!#REF!),"")</f>
        <v>#REF!</v>
      </c>
      <c r="M13" s="53" t="e">
        <f>IF(AND('Mapa final'!#REF!="Muy Alta",'Mapa final'!#REF!="Leve"),CONCATENATE("R8C",'Mapa final'!#REF!),"")</f>
        <v>#REF!</v>
      </c>
      <c r="N13" s="53" t="e">
        <f>IF(AND('Mapa final'!#REF!="Muy Alta",'Mapa final'!#REF!="Leve"),CONCATENATE("R8C",'Mapa final'!#REF!),"")</f>
        <v>#REF!</v>
      </c>
      <c r="O13" s="54" t="e">
        <f>IF(AND('Mapa final'!#REF!="Muy Alta",'Mapa final'!#REF!="Leve"),CONCATENATE("R8C",'Mapa final'!#REF!),"")</f>
        <v>#REF!</v>
      </c>
      <c r="P13" s="52" t="e">
        <f>IF(AND('Mapa final'!#REF!="Muy Alta",'Mapa final'!#REF!="Menor"),CONCATENATE("R8C",'Mapa final'!#REF!),"")</f>
        <v>#REF!</v>
      </c>
      <c r="Q13" s="53" t="e">
        <f>IF(AND('Mapa final'!#REF!="Muy Alta",'Mapa final'!#REF!="Menor"),CONCATENATE("R8C",'Mapa final'!#REF!),"")</f>
        <v>#REF!</v>
      </c>
      <c r="R13" s="53" t="e">
        <f>IF(AND('Mapa final'!#REF!="Muy Alta",'Mapa final'!#REF!="Menor"),CONCATENATE("R8C",'Mapa final'!#REF!),"")</f>
        <v>#REF!</v>
      </c>
      <c r="S13" s="53" t="e">
        <f>IF(AND('Mapa final'!#REF!="Muy Alta",'Mapa final'!#REF!="Menor"),CONCATENATE("R8C",'Mapa final'!#REF!),"")</f>
        <v>#REF!</v>
      </c>
      <c r="T13" s="53" t="e">
        <f>IF(AND('Mapa final'!#REF!="Muy Alta",'Mapa final'!#REF!="Menor"),CONCATENATE("R8C",'Mapa final'!#REF!),"")</f>
        <v>#REF!</v>
      </c>
      <c r="U13" s="54" t="e">
        <f>IF(AND('Mapa final'!#REF!="Muy Alta",'Mapa final'!#REF!="Menor"),CONCATENATE("R8C",'Mapa final'!#REF!),"")</f>
        <v>#REF!</v>
      </c>
      <c r="V13" s="52" t="e">
        <f>IF(AND('Mapa final'!#REF!="Muy Alta",'Mapa final'!#REF!="Moderado"),CONCATENATE("R8C",'Mapa final'!#REF!),"")</f>
        <v>#REF!</v>
      </c>
      <c r="W13" s="53" t="e">
        <f>IF(AND('Mapa final'!#REF!="Muy Alta",'Mapa final'!#REF!="Moderado"),CONCATENATE("R8C",'Mapa final'!#REF!),"")</f>
        <v>#REF!</v>
      </c>
      <c r="X13" s="53" t="e">
        <f>IF(AND('Mapa final'!#REF!="Muy Alta",'Mapa final'!#REF!="Moderado"),CONCATENATE("R8C",'Mapa final'!#REF!),"")</f>
        <v>#REF!</v>
      </c>
      <c r="Y13" s="53" t="e">
        <f>IF(AND('Mapa final'!#REF!="Muy Alta",'Mapa final'!#REF!="Moderado"),CONCATENATE("R8C",'Mapa final'!#REF!),"")</f>
        <v>#REF!</v>
      </c>
      <c r="Z13" s="53" t="e">
        <f>IF(AND('Mapa final'!#REF!="Muy Alta",'Mapa final'!#REF!="Moderado"),CONCATENATE("R8C",'Mapa final'!#REF!),"")</f>
        <v>#REF!</v>
      </c>
      <c r="AA13" s="54" t="e">
        <f>IF(AND('Mapa final'!#REF!="Muy Alta",'Mapa final'!#REF!="Moderado"),CONCATENATE("R8C",'Mapa final'!#REF!),"")</f>
        <v>#REF!</v>
      </c>
      <c r="AB13" s="52" t="e">
        <f>IF(AND('Mapa final'!#REF!="Muy Alta",'Mapa final'!#REF!="Mayor"),CONCATENATE("R8C",'Mapa final'!#REF!),"")</f>
        <v>#REF!</v>
      </c>
      <c r="AC13" s="53" t="e">
        <f>IF(AND('Mapa final'!#REF!="Muy Alta",'Mapa final'!#REF!="Mayor"),CONCATENATE("R8C",'Mapa final'!#REF!),"")</f>
        <v>#REF!</v>
      </c>
      <c r="AD13" s="53" t="e">
        <f>IF(AND('Mapa final'!#REF!="Muy Alta",'Mapa final'!#REF!="Mayor"),CONCATENATE("R8C",'Mapa final'!#REF!),"")</f>
        <v>#REF!</v>
      </c>
      <c r="AE13" s="53" t="e">
        <f>IF(AND('Mapa final'!#REF!="Muy Alta",'Mapa final'!#REF!="Mayor"),CONCATENATE("R8C",'Mapa final'!#REF!),"")</f>
        <v>#REF!</v>
      </c>
      <c r="AF13" s="53" t="e">
        <f>IF(AND('Mapa final'!#REF!="Muy Alta",'Mapa final'!#REF!="Mayor"),CONCATENATE("R8C",'Mapa final'!#REF!),"")</f>
        <v>#REF!</v>
      </c>
      <c r="AG13" s="54" t="e">
        <f>IF(AND('Mapa final'!#REF!="Muy Alta",'Mapa final'!#REF!="Mayor"),CONCATENATE("R8C",'Mapa final'!#REF!),"")</f>
        <v>#REF!</v>
      </c>
      <c r="AH13" s="55" t="e">
        <f>IF(AND('Mapa final'!#REF!="Muy Alta",'Mapa final'!#REF!="Catastrófico"),CONCATENATE("R8C",'Mapa final'!#REF!),"")</f>
        <v>#REF!</v>
      </c>
      <c r="AI13" s="56" t="e">
        <f>IF(AND('Mapa final'!#REF!="Muy Alta",'Mapa final'!#REF!="Catastrófico"),CONCATENATE("R8C",'Mapa final'!#REF!),"")</f>
        <v>#REF!</v>
      </c>
      <c r="AJ13" s="56" t="e">
        <f>IF(AND('Mapa final'!#REF!="Muy Alta",'Mapa final'!#REF!="Catastrófico"),CONCATENATE("R8C",'Mapa final'!#REF!),"")</f>
        <v>#REF!</v>
      </c>
      <c r="AK13" s="56" t="e">
        <f>IF(AND('Mapa final'!#REF!="Muy Alta",'Mapa final'!#REF!="Catastrófico"),CONCATENATE("R8C",'Mapa final'!#REF!),"")</f>
        <v>#REF!</v>
      </c>
      <c r="AL13" s="56" t="e">
        <f>IF(AND('Mapa final'!#REF!="Muy Alta",'Mapa final'!#REF!="Catastrófico"),CONCATENATE("R8C",'Mapa final'!#REF!),"")</f>
        <v>#REF!</v>
      </c>
      <c r="AM13" s="57" t="e">
        <f>IF(AND('Mapa final'!#REF!="Muy Alta",'Mapa final'!#REF!="Catastrófico"),CONCATENATE("R8C",'Mapa final'!#REF!),"")</f>
        <v>#REF!</v>
      </c>
      <c r="AN13" s="83"/>
      <c r="AO13" s="341"/>
      <c r="AP13" s="342"/>
      <c r="AQ13" s="342"/>
      <c r="AR13" s="342"/>
      <c r="AS13" s="342"/>
      <c r="AT13" s="34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236"/>
      <c r="C14" s="236"/>
      <c r="D14" s="237"/>
      <c r="E14" s="335"/>
      <c r="F14" s="334"/>
      <c r="G14" s="334"/>
      <c r="H14" s="334"/>
      <c r="I14" s="350"/>
      <c r="J14" s="52" t="str">
        <f>IF(AND('Mapa final'!$Z$25="Muy Alta",'Mapa final'!$AB$25="Leve"),CONCATENATE("R9C",'Mapa final'!$P$25),"")</f>
        <v/>
      </c>
      <c r="K14" s="53" t="str">
        <f>IF(AND('Mapa final'!$Z$26="Muy Alta",'Mapa final'!$AB$26="Leve"),CONCATENATE("R9C",'Mapa final'!$P$26),"")</f>
        <v/>
      </c>
      <c r="L14" s="53" t="str">
        <f>IF(AND('Mapa final'!$Z$27="Muy Alta",'Mapa final'!$AB$27="Leve"),CONCATENATE("R9C",'Mapa final'!$P$27),"")</f>
        <v/>
      </c>
      <c r="M14" s="53" t="e">
        <f>IF(AND('Mapa final'!#REF!="Muy Alta",'Mapa final'!#REF!="Leve"),CONCATENATE("R9C",'Mapa final'!#REF!),"")</f>
        <v>#REF!</v>
      </c>
      <c r="N14" s="53" t="e">
        <f>IF(AND('Mapa final'!#REF!="Muy Alta",'Mapa final'!#REF!="Leve"),CONCATENATE("R9C",'Mapa final'!#REF!),"")</f>
        <v>#REF!</v>
      </c>
      <c r="O14" s="54" t="e">
        <f>IF(AND('Mapa final'!#REF!="Muy Alta",'Mapa final'!#REF!="Leve"),CONCATENATE("R9C",'Mapa final'!#REF!),"")</f>
        <v>#REF!</v>
      </c>
      <c r="P14" s="52" t="str">
        <f>IF(AND('Mapa final'!$Z$25="Muy Alta",'Mapa final'!$AB$25="Menor"),CONCATENATE("R9C",'Mapa final'!$P$25),"")</f>
        <v/>
      </c>
      <c r="Q14" s="53" t="str">
        <f>IF(AND('Mapa final'!$Z$26="Muy Alta",'Mapa final'!$AB$26="Menor"),CONCATENATE("R9C",'Mapa final'!$P$26),"")</f>
        <v/>
      </c>
      <c r="R14" s="53" t="str">
        <f>IF(AND('Mapa final'!$Z$27="Muy Alta",'Mapa final'!$AB$27="Menor"),CONCATENATE("R9C",'Mapa final'!$P$27),"")</f>
        <v/>
      </c>
      <c r="S14" s="53" t="e">
        <f>IF(AND('Mapa final'!#REF!="Muy Alta",'Mapa final'!#REF!="Menor"),CONCATENATE("R9C",'Mapa final'!#REF!),"")</f>
        <v>#REF!</v>
      </c>
      <c r="T14" s="53" t="e">
        <f>IF(AND('Mapa final'!#REF!="Muy Alta",'Mapa final'!#REF!="Menor"),CONCATENATE("R9C",'Mapa final'!#REF!),"")</f>
        <v>#REF!</v>
      </c>
      <c r="U14" s="54" t="e">
        <f>IF(AND('Mapa final'!#REF!="Muy Alta",'Mapa final'!#REF!="Menor"),CONCATENATE("R9C",'Mapa final'!#REF!),"")</f>
        <v>#REF!</v>
      </c>
      <c r="V14" s="52" t="str">
        <f>IF(AND('Mapa final'!$Z$25="Muy Alta",'Mapa final'!$AB$25="Moderado"),CONCATENATE("R9C",'Mapa final'!$P$25),"")</f>
        <v/>
      </c>
      <c r="W14" s="53" t="str">
        <f>IF(AND('Mapa final'!$Z$26="Muy Alta",'Mapa final'!$AB$26="Moderado"),CONCATENATE("R9C",'Mapa final'!$P$26),"")</f>
        <v/>
      </c>
      <c r="X14" s="53" t="str">
        <f>IF(AND('Mapa final'!$Z$27="Muy Alta",'Mapa final'!$AB$27="Moderado"),CONCATENATE("R9C",'Mapa final'!$P$27),"")</f>
        <v/>
      </c>
      <c r="Y14" s="53" t="e">
        <f>IF(AND('Mapa final'!#REF!="Muy Alta",'Mapa final'!#REF!="Moderado"),CONCATENATE("R9C",'Mapa final'!#REF!),"")</f>
        <v>#REF!</v>
      </c>
      <c r="Z14" s="53" t="e">
        <f>IF(AND('Mapa final'!#REF!="Muy Alta",'Mapa final'!#REF!="Moderado"),CONCATENATE("R9C",'Mapa final'!#REF!),"")</f>
        <v>#REF!</v>
      </c>
      <c r="AA14" s="54" t="e">
        <f>IF(AND('Mapa final'!#REF!="Muy Alta",'Mapa final'!#REF!="Moderado"),CONCATENATE("R9C",'Mapa final'!#REF!),"")</f>
        <v>#REF!</v>
      </c>
      <c r="AB14" s="52" t="str">
        <f>IF(AND('Mapa final'!$Z$25="Muy Alta",'Mapa final'!$AB$25="Mayor"),CONCATENATE("R9C",'Mapa final'!$P$25),"")</f>
        <v/>
      </c>
      <c r="AC14" s="53" t="str">
        <f>IF(AND('Mapa final'!$Z$26="Muy Alta",'Mapa final'!$AB$26="Mayor"),CONCATENATE("R9C",'Mapa final'!$P$26),"")</f>
        <v/>
      </c>
      <c r="AD14" s="53" t="str">
        <f>IF(AND('Mapa final'!$Z$27="Muy Alta",'Mapa final'!$AB$27="Mayor"),CONCATENATE("R9C",'Mapa final'!$P$27),"")</f>
        <v/>
      </c>
      <c r="AE14" s="53" t="e">
        <f>IF(AND('Mapa final'!#REF!="Muy Alta",'Mapa final'!#REF!="Mayor"),CONCATENATE("R9C",'Mapa final'!#REF!),"")</f>
        <v>#REF!</v>
      </c>
      <c r="AF14" s="53" t="e">
        <f>IF(AND('Mapa final'!#REF!="Muy Alta",'Mapa final'!#REF!="Mayor"),CONCATENATE("R9C",'Mapa final'!#REF!),"")</f>
        <v>#REF!</v>
      </c>
      <c r="AG14" s="54" t="e">
        <f>IF(AND('Mapa final'!#REF!="Muy Alta",'Mapa final'!#REF!="Mayor"),CONCATENATE("R9C",'Mapa final'!#REF!),"")</f>
        <v>#REF!</v>
      </c>
      <c r="AH14" s="55" t="str">
        <f>IF(AND('Mapa final'!$Z$25="Muy Alta",'Mapa final'!$AB$25="Catastrófico"),CONCATENATE("R9C",'Mapa final'!$P$25),"")</f>
        <v/>
      </c>
      <c r="AI14" s="56" t="str">
        <f>IF(AND('Mapa final'!$Z$26="Muy Alta",'Mapa final'!$AB$26="Catastrófico"),CONCATENATE("R9C",'Mapa final'!$P$26),"")</f>
        <v/>
      </c>
      <c r="AJ14" s="56" t="str">
        <f>IF(AND('Mapa final'!$Z$27="Muy Alta",'Mapa final'!$AB$27="Catastrófico"),CONCATENATE("R9C",'Mapa final'!$P$27),"")</f>
        <v/>
      </c>
      <c r="AK14" s="56" t="e">
        <f>IF(AND('Mapa final'!#REF!="Muy Alta",'Mapa final'!#REF!="Catastrófico"),CONCATENATE("R9C",'Mapa final'!#REF!),"")</f>
        <v>#REF!</v>
      </c>
      <c r="AL14" s="56" t="e">
        <f>IF(AND('Mapa final'!#REF!="Muy Alta",'Mapa final'!#REF!="Catastrófico"),CONCATENATE("R9C",'Mapa final'!#REF!),"")</f>
        <v>#REF!</v>
      </c>
      <c r="AM14" s="57" t="e">
        <f>IF(AND('Mapa final'!#REF!="Muy Alta",'Mapa final'!#REF!="Catastrófico"),CONCATENATE("R9C",'Mapa final'!#REF!),"")</f>
        <v>#REF!</v>
      </c>
      <c r="AN14" s="83"/>
      <c r="AO14" s="341"/>
      <c r="AP14" s="342"/>
      <c r="AQ14" s="342"/>
      <c r="AR14" s="342"/>
      <c r="AS14" s="342"/>
      <c r="AT14" s="34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236"/>
      <c r="C15" s="236"/>
      <c r="D15" s="237"/>
      <c r="E15" s="336"/>
      <c r="F15" s="337"/>
      <c r="G15" s="337"/>
      <c r="H15" s="337"/>
      <c r="I15" s="351"/>
      <c r="J15" s="58" t="str">
        <f>IF(AND('Mapa final'!$Z$28="Muy Alta",'Mapa final'!$AB$28="Leve"),CONCATENATE("R10C",'Mapa final'!$P$28),"")</f>
        <v/>
      </c>
      <c r="K15" s="59" t="str">
        <f>IF(AND('Mapa final'!$Z$29="Muy Alta",'Mapa final'!$AB$29="Leve"),CONCATENATE("R10C",'Mapa final'!$P$29),"")</f>
        <v/>
      </c>
      <c r="L15" s="59" t="str">
        <f>IF(AND('Mapa final'!$Z$30="Muy Alta",'Mapa final'!$AB$30="Leve"),CONCATENATE("R10C",'Mapa final'!$P$30),"")</f>
        <v/>
      </c>
      <c r="M15" s="59" t="e">
        <f>IF(AND('Mapa final'!#REF!="Muy Alta",'Mapa final'!#REF!="Leve"),CONCATENATE("R10C",'Mapa final'!#REF!),"")</f>
        <v>#REF!</v>
      </c>
      <c r="N15" s="59" t="e">
        <f>IF(AND('Mapa final'!#REF!="Muy Alta",'Mapa final'!#REF!="Leve"),CONCATENATE("R10C",'Mapa final'!#REF!),"")</f>
        <v>#REF!</v>
      </c>
      <c r="O15" s="60" t="e">
        <f>IF(AND('Mapa final'!#REF!="Muy Alta",'Mapa final'!#REF!="Leve"),CONCATENATE("R10C",'Mapa final'!#REF!),"")</f>
        <v>#REF!</v>
      </c>
      <c r="P15" s="52" t="str">
        <f>IF(AND('Mapa final'!$Z$28="Muy Alta",'Mapa final'!$AB$28="Menor"),CONCATENATE("R10C",'Mapa final'!$P$28),"")</f>
        <v/>
      </c>
      <c r="Q15" s="53" t="str">
        <f>IF(AND('Mapa final'!$Z$29="Muy Alta",'Mapa final'!$AB$29="Menor"),CONCATENATE("R10C",'Mapa final'!$P$29),"")</f>
        <v/>
      </c>
      <c r="R15" s="53" t="str">
        <f>IF(AND('Mapa final'!$Z$30="Muy Alta",'Mapa final'!$AB$30="Menor"),CONCATENATE("R10C",'Mapa final'!$P$30),"")</f>
        <v/>
      </c>
      <c r="S15" s="53" t="e">
        <f>IF(AND('Mapa final'!#REF!="Muy Alta",'Mapa final'!#REF!="Menor"),CONCATENATE("R10C",'Mapa final'!#REF!),"")</f>
        <v>#REF!</v>
      </c>
      <c r="T15" s="53" t="e">
        <f>IF(AND('Mapa final'!#REF!="Muy Alta",'Mapa final'!#REF!="Menor"),CONCATENATE("R10C",'Mapa final'!#REF!),"")</f>
        <v>#REF!</v>
      </c>
      <c r="U15" s="54" t="e">
        <f>IF(AND('Mapa final'!#REF!="Muy Alta",'Mapa final'!#REF!="Menor"),CONCATENATE("R10C",'Mapa final'!#REF!),"")</f>
        <v>#REF!</v>
      </c>
      <c r="V15" s="58" t="str">
        <f>IF(AND('Mapa final'!$Z$28="Muy Alta",'Mapa final'!$AB$28="Moderado"),CONCATENATE("R10C",'Mapa final'!$P$28),"")</f>
        <v/>
      </c>
      <c r="W15" s="59" t="str">
        <f>IF(AND('Mapa final'!$Z$29="Muy Alta",'Mapa final'!$AB$29="Moderado"),CONCATENATE("R10C",'Mapa final'!$P$29),"")</f>
        <v/>
      </c>
      <c r="X15" s="59" t="str">
        <f>IF(AND('Mapa final'!$Z$30="Muy Alta",'Mapa final'!$AB$30="Moderado"),CONCATENATE("R10C",'Mapa final'!$P$30),"")</f>
        <v/>
      </c>
      <c r="Y15" s="59" t="e">
        <f>IF(AND('Mapa final'!#REF!="Muy Alta",'Mapa final'!#REF!="Moderado"),CONCATENATE("R10C",'Mapa final'!#REF!),"")</f>
        <v>#REF!</v>
      </c>
      <c r="Z15" s="59" t="e">
        <f>IF(AND('Mapa final'!#REF!="Muy Alta",'Mapa final'!#REF!="Moderado"),CONCATENATE("R10C",'Mapa final'!#REF!),"")</f>
        <v>#REF!</v>
      </c>
      <c r="AA15" s="60" t="e">
        <f>IF(AND('Mapa final'!#REF!="Muy Alta",'Mapa final'!#REF!="Moderado"),CONCATENATE("R10C",'Mapa final'!#REF!),"")</f>
        <v>#REF!</v>
      </c>
      <c r="AB15" s="52" t="str">
        <f>IF(AND('Mapa final'!$Z$28="Muy Alta",'Mapa final'!$AB$28="Mayor"),CONCATENATE("R10C",'Mapa final'!$P$28),"")</f>
        <v/>
      </c>
      <c r="AC15" s="53" t="str">
        <f>IF(AND('Mapa final'!$Z$29="Muy Alta",'Mapa final'!$AB$29="Mayor"),CONCATENATE("R10C",'Mapa final'!$P$29),"")</f>
        <v/>
      </c>
      <c r="AD15" s="53" t="str">
        <f>IF(AND('Mapa final'!$Z$30="Muy Alta",'Mapa final'!$AB$30="Mayor"),CONCATENATE("R10C",'Mapa final'!$P$30),"")</f>
        <v/>
      </c>
      <c r="AE15" s="53" t="e">
        <f>IF(AND('Mapa final'!#REF!="Muy Alta",'Mapa final'!#REF!="Mayor"),CONCATENATE("R10C",'Mapa final'!#REF!),"")</f>
        <v>#REF!</v>
      </c>
      <c r="AF15" s="53" t="e">
        <f>IF(AND('Mapa final'!#REF!="Muy Alta",'Mapa final'!#REF!="Mayor"),CONCATENATE("R10C",'Mapa final'!#REF!),"")</f>
        <v>#REF!</v>
      </c>
      <c r="AG15" s="54" t="e">
        <f>IF(AND('Mapa final'!#REF!="Muy Alta",'Mapa final'!#REF!="Mayor"),CONCATENATE("R10C",'Mapa final'!#REF!),"")</f>
        <v>#REF!</v>
      </c>
      <c r="AH15" s="61" t="str">
        <f>IF(AND('Mapa final'!$Z$28="Muy Alta",'Mapa final'!$AB$28="Catastrófico"),CONCATENATE("R10C",'Mapa final'!$P$28),"")</f>
        <v/>
      </c>
      <c r="AI15" s="62" t="str">
        <f>IF(AND('Mapa final'!$Z$29="Muy Alta",'Mapa final'!$AB$29="Catastrófico"),CONCATENATE("R10C",'Mapa final'!$P$29),"")</f>
        <v/>
      </c>
      <c r="AJ15" s="62" t="str">
        <f>IF(AND('Mapa final'!$Z$30="Muy Alta",'Mapa final'!$AB$30="Catastrófico"),CONCATENATE("R10C",'Mapa final'!$P$30),"")</f>
        <v/>
      </c>
      <c r="AK15" s="62" t="e">
        <f>IF(AND('Mapa final'!#REF!="Muy Alta",'Mapa final'!#REF!="Catastrófico"),CONCATENATE("R10C",'Mapa final'!#REF!),"")</f>
        <v>#REF!</v>
      </c>
      <c r="AL15" s="62" t="e">
        <f>IF(AND('Mapa final'!#REF!="Muy Alta",'Mapa final'!#REF!="Catastrófico"),CONCATENATE("R10C",'Mapa final'!#REF!),"")</f>
        <v>#REF!</v>
      </c>
      <c r="AM15" s="63" t="e">
        <f>IF(AND('Mapa final'!#REF!="Muy Alta",'Mapa final'!#REF!="Catastrófico"),CONCATENATE("R10C",'Mapa final'!#REF!),"")</f>
        <v>#REF!</v>
      </c>
      <c r="AN15" s="83"/>
      <c r="AO15" s="344"/>
      <c r="AP15" s="345"/>
      <c r="AQ15" s="345"/>
      <c r="AR15" s="345"/>
      <c r="AS15" s="345"/>
      <c r="AT15" s="346"/>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236"/>
      <c r="C16" s="236"/>
      <c r="D16" s="237"/>
      <c r="E16" s="331" t="s">
        <v>111</v>
      </c>
      <c r="F16" s="332"/>
      <c r="G16" s="332"/>
      <c r="H16" s="332"/>
      <c r="I16" s="332"/>
      <c r="J16" s="64" t="str">
        <f>IF(AND('Mapa final'!$Z$10="Alta",'Mapa final'!$AB$10="Leve"),CONCATENATE("R1C",'Mapa final'!$P$10),"")</f>
        <v/>
      </c>
      <c r="K16" s="65" t="str">
        <f>IF(AND('Mapa final'!$Z$11="Alta",'Mapa final'!$AB$11="Leve"),CONCATENATE("R1C",'Mapa final'!$P$11),"")</f>
        <v/>
      </c>
      <c r="L16" s="65" t="str">
        <f>IF(AND('Mapa final'!$Z$12="Alta",'Mapa final'!$AB$12="Leve"),CONCATENATE("R1C",'Mapa final'!$P$12),"")</f>
        <v/>
      </c>
      <c r="M16" s="65" t="e">
        <f>IF(AND('Mapa final'!#REF!="Alta",'Mapa final'!#REF!="Leve"),CONCATENATE("R1C",'Mapa final'!#REF!),"")</f>
        <v>#REF!</v>
      </c>
      <c r="N16" s="65" t="e">
        <f>IF(AND('Mapa final'!#REF!="Alta",'Mapa final'!#REF!="Leve"),CONCATENATE("R1C",'Mapa final'!#REF!),"")</f>
        <v>#REF!</v>
      </c>
      <c r="O16" s="66" t="e">
        <f>IF(AND('Mapa final'!#REF!="Alta",'Mapa final'!#REF!="Leve"),CONCATENATE("R1C",'Mapa final'!#REF!),"")</f>
        <v>#REF!</v>
      </c>
      <c r="P16" s="64" t="str">
        <f>IF(AND('Mapa final'!$Z$10="Alta",'Mapa final'!$AB$10="Menor"),CONCATENATE("R1C",'Mapa final'!$P$10),"")</f>
        <v/>
      </c>
      <c r="Q16" s="65" t="str">
        <f>IF(AND('Mapa final'!$Z$11="Alta",'Mapa final'!$AB$11="Menor"),CONCATENATE("R1C",'Mapa final'!$P$11),"")</f>
        <v/>
      </c>
      <c r="R16" s="65" t="str">
        <f>IF(AND('Mapa final'!$Z$12="Alta",'Mapa final'!$AB$12="Menor"),CONCATENATE("R1C",'Mapa final'!$P$12),"")</f>
        <v/>
      </c>
      <c r="S16" s="65" t="e">
        <f>IF(AND('Mapa final'!#REF!="Alta",'Mapa final'!#REF!="Menor"),CONCATENATE("R1C",'Mapa final'!#REF!),"")</f>
        <v>#REF!</v>
      </c>
      <c r="T16" s="65" t="e">
        <f>IF(AND('Mapa final'!#REF!="Alta",'Mapa final'!#REF!="Menor"),CONCATENATE("R1C",'Mapa final'!#REF!),"")</f>
        <v>#REF!</v>
      </c>
      <c r="U16" s="66" t="e">
        <f>IF(AND('Mapa final'!#REF!="Alta",'Mapa final'!#REF!="Menor"),CONCATENATE("R1C",'Mapa final'!#REF!),"")</f>
        <v>#REF!</v>
      </c>
      <c r="V16" s="46" t="str">
        <f>IF(AND('Mapa final'!$Z$10="Alta",'Mapa final'!$AB$10="Moderado"),CONCATENATE("R1C",'Mapa final'!$P$10),"")</f>
        <v/>
      </c>
      <c r="W16" s="47" t="str">
        <f>IF(AND('Mapa final'!$Z$11="Alta",'Mapa final'!$AB$11="Moderado"),CONCATENATE("R1C",'Mapa final'!$P$11),"")</f>
        <v/>
      </c>
      <c r="X16" s="47" t="str">
        <f>IF(AND('Mapa final'!$Z$12="Alta",'Mapa final'!$AB$12="Moderado"),CONCATENATE("R1C",'Mapa final'!$P$12),"")</f>
        <v/>
      </c>
      <c r="Y16" s="47" t="e">
        <f>IF(AND('Mapa final'!#REF!="Alta",'Mapa final'!#REF!="Moderado"),CONCATENATE("R1C",'Mapa final'!#REF!),"")</f>
        <v>#REF!</v>
      </c>
      <c r="Z16" s="47" t="e">
        <f>IF(AND('Mapa final'!#REF!="Alta",'Mapa final'!#REF!="Moderado"),CONCATENATE("R1C",'Mapa final'!#REF!),"")</f>
        <v>#REF!</v>
      </c>
      <c r="AA16" s="48" t="e">
        <f>IF(AND('Mapa final'!#REF!="Alta",'Mapa final'!#REF!="Moderado"),CONCATENATE("R1C",'Mapa final'!#REF!),"")</f>
        <v>#REF!</v>
      </c>
      <c r="AB16" s="46" t="str">
        <f>IF(AND('Mapa final'!$Z$10="Alta",'Mapa final'!$AB$10="Mayor"),CONCATENATE("R1C",'Mapa final'!$P$10),"")</f>
        <v/>
      </c>
      <c r="AC16" s="47" t="str">
        <f>IF(AND('Mapa final'!$Z$11="Alta",'Mapa final'!$AB$11="Mayor"),CONCATENATE("R1C",'Mapa final'!$P$11),"")</f>
        <v/>
      </c>
      <c r="AD16" s="47" t="str">
        <f>IF(AND('Mapa final'!$Z$12="Alta",'Mapa final'!$AB$12="Mayor"),CONCATENATE("R1C",'Mapa final'!$P$12),"")</f>
        <v/>
      </c>
      <c r="AE16" s="47" t="e">
        <f>IF(AND('Mapa final'!#REF!="Alta",'Mapa final'!#REF!="Mayor"),CONCATENATE("R1C",'Mapa final'!#REF!),"")</f>
        <v>#REF!</v>
      </c>
      <c r="AF16" s="47" t="e">
        <f>IF(AND('Mapa final'!#REF!="Alta",'Mapa final'!#REF!="Mayor"),CONCATENATE("R1C",'Mapa final'!#REF!),"")</f>
        <v>#REF!</v>
      </c>
      <c r="AG16" s="48" t="e">
        <f>IF(AND('Mapa final'!#REF!="Alta",'Mapa final'!#REF!="Mayor"),CONCATENATE("R1C",'Mapa final'!#REF!),"")</f>
        <v>#REF!</v>
      </c>
      <c r="AH16" s="49" t="str">
        <f>IF(AND('Mapa final'!$Z$10="Alta",'Mapa final'!$AB$10="Catastrófico"),CONCATENATE("R1C",'Mapa final'!$P$10),"")</f>
        <v/>
      </c>
      <c r="AI16" s="50" t="str">
        <f>IF(AND('Mapa final'!$Z$11="Alta",'Mapa final'!$AB$11="Catastrófico"),CONCATENATE("R1C",'Mapa final'!$P$11),"")</f>
        <v/>
      </c>
      <c r="AJ16" s="50" t="str">
        <f>IF(AND('Mapa final'!$Z$12="Alta",'Mapa final'!$AB$12="Catastrófico"),CONCATENATE("R1C",'Mapa final'!$P$12),"")</f>
        <v/>
      </c>
      <c r="AK16" s="50" t="e">
        <f>IF(AND('Mapa final'!#REF!="Alta",'Mapa final'!#REF!="Catastrófico"),CONCATENATE("R1C",'Mapa final'!#REF!),"")</f>
        <v>#REF!</v>
      </c>
      <c r="AL16" s="50" t="e">
        <f>IF(AND('Mapa final'!#REF!="Alta",'Mapa final'!#REF!="Catastrófico"),CONCATENATE("R1C",'Mapa final'!#REF!),"")</f>
        <v>#REF!</v>
      </c>
      <c r="AM16" s="51" t="e">
        <f>IF(AND('Mapa final'!#REF!="Alta",'Mapa final'!#REF!="Catastrófico"),CONCATENATE("R1C",'Mapa final'!#REF!),"")</f>
        <v>#REF!</v>
      </c>
      <c r="AN16" s="83"/>
      <c r="AO16" s="322" t="s">
        <v>76</v>
      </c>
      <c r="AP16" s="323"/>
      <c r="AQ16" s="323"/>
      <c r="AR16" s="323"/>
      <c r="AS16" s="323"/>
      <c r="AT16" s="324"/>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236"/>
      <c r="C17" s="236"/>
      <c r="D17" s="237"/>
      <c r="E17" s="333"/>
      <c r="F17" s="334"/>
      <c r="G17" s="334"/>
      <c r="H17" s="334"/>
      <c r="I17" s="334"/>
      <c r="J17" s="67" t="str">
        <f>IF(AND('Mapa final'!$Z$13="Alta",'Mapa final'!$AB$13="Leve"),CONCATENATE("R2C",'Mapa final'!$P$13),"")</f>
        <v/>
      </c>
      <c r="K17" s="68" t="str">
        <f>IF(AND('Mapa final'!$Z$14="Alta",'Mapa final'!$AB$14="Leve"),CONCATENATE("R2C",'Mapa final'!$P$14),"")</f>
        <v/>
      </c>
      <c r="L17" s="68" t="str">
        <f>IF(AND('Mapa final'!$Z$15="Alta",'Mapa final'!$AB$15="Leve"),CONCATENATE("R2C",'Mapa final'!$P$15),"")</f>
        <v/>
      </c>
      <c r="M17" s="68" t="e">
        <f>IF(AND('Mapa final'!#REF!="Alta",'Mapa final'!#REF!="Leve"),CONCATENATE("R2C",'Mapa final'!#REF!),"")</f>
        <v>#REF!</v>
      </c>
      <c r="N17" s="68" t="e">
        <f>IF(AND('Mapa final'!#REF!="Alta",'Mapa final'!#REF!="Leve"),CONCATENATE("R2C",'Mapa final'!#REF!),"")</f>
        <v>#REF!</v>
      </c>
      <c r="O17" s="69" t="e">
        <f>IF(AND('Mapa final'!#REF!="Alta",'Mapa final'!#REF!="Leve"),CONCATENATE("R2C",'Mapa final'!#REF!),"")</f>
        <v>#REF!</v>
      </c>
      <c r="P17" s="67" t="str">
        <f>IF(AND('Mapa final'!$Z$13="Alta",'Mapa final'!$AB$13="Menor"),CONCATENATE("R2C",'Mapa final'!$P$13),"")</f>
        <v/>
      </c>
      <c r="Q17" s="68" t="str">
        <f>IF(AND('Mapa final'!$Z$14="Alta",'Mapa final'!$AB$14="Menor"),CONCATENATE("R2C",'Mapa final'!$P$14),"")</f>
        <v/>
      </c>
      <c r="R17" s="68" t="str">
        <f>IF(AND('Mapa final'!$Z$15="Alta",'Mapa final'!$AB$15="Menor"),CONCATENATE("R2C",'Mapa final'!$P$15),"")</f>
        <v/>
      </c>
      <c r="S17" s="68" t="e">
        <f>IF(AND('Mapa final'!#REF!="Alta",'Mapa final'!#REF!="Menor"),CONCATENATE("R2C",'Mapa final'!#REF!),"")</f>
        <v>#REF!</v>
      </c>
      <c r="T17" s="68" t="e">
        <f>IF(AND('Mapa final'!#REF!="Alta",'Mapa final'!#REF!="Menor"),CONCATENATE("R2C",'Mapa final'!#REF!),"")</f>
        <v>#REF!</v>
      </c>
      <c r="U17" s="69" t="e">
        <f>IF(AND('Mapa final'!#REF!="Alta",'Mapa final'!#REF!="Menor"),CONCATENATE("R2C",'Mapa final'!#REF!),"")</f>
        <v>#REF!</v>
      </c>
      <c r="V17" s="52" t="str">
        <f>IF(AND('Mapa final'!$Z$13="Alta",'Mapa final'!$AB$13="Moderado"),CONCATENATE("R2C",'Mapa final'!$P$13),"")</f>
        <v/>
      </c>
      <c r="W17" s="53" t="str">
        <f>IF(AND('Mapa final'!$Z$14="Alta",'Mapa final'!$AB$14="Moderado"),CONCATENATE("R2C",'Mapa final'!$P$14),"")</f>
        <v/>
      </c>
      <c r="X17" s="53" t="str">
        <f>IF(AND('Mapa final'!$Z$15="Alta",'Mapa final'!$AB$15="Moderado"),CONCATENATE("R2C",'Mapa final'!$P$15),"")</f>
        <v/>
      </c>
      <c r="Y17" s="53" t="e">
        <f>IF(AND('Mapa final'!#REF!="Alta",'Mapa final'!#REF!="Moderado"),CONCATENATE("R2C",'Mapa final'!#REF!),"")</f>
        <v>#REF!</v>
      </c>
      <c r="Z17" s="53" t="e">
        <f>IF(AND('Mapa final'!#REF!="Alta",'Mapa final'!#REF!="Moderado"),CONCATENATE("R2C",'Mapa final'!#REF!),"")</f>
        <v>#REF!</v>
      </c>
      <c r="AA17" s="54" t="e">
        <f>IF(AND('Mapa final'!#REF!="Alta",'Mapa final'!#REF!="Moderado"),CONCATENATE("R2C",'Mapa final'!#REF!),"")</f>
        <v>#REF!</v>
      </c>
      <c r="AB17" s="52" t="str">
        <f>IF(AND('Mapa final'!$Z$13="Alta",'Mapa final'!$AB$13="Mayor"),CONCATENATE("R2C",'Mapa final'!$P$13),"")</f>
        <v/>
      </c>
      <c r="AC17" s="53" t="str">
        <f>IF(AND('Mapa final'!$Z$14="Alta",'Mapa final'!$AB$14="Mayor"),CONCATENATE("R2C",'Mapa final'!$P$14),"")</f>
        <v/>
      </c>
      <c r="AD17" s="53" t="str">
        <f>IF(AND('Mapa final'!$Z$15="Alta",'Mapa final'!$AB$15="Mayor"),CONCATENATE("R2C",'Mapa final'!$P$15),"")</f>
        <v/>
      </c>
      <c r="AE17" s="53" t="e">
        <f>IF(AND('Mapa final'!#REF!="Alta",'Mapa final'!#REF!="Mayor"),CONCATENATE("R2C",'Mapa final'!#REF!),"")</f>
        <v>#REF!</v>
      </c>
      <c r="AF17" s="53" t="e">
        <f>IF(AND('Mapa final'!#REF!="Alta",'Mapa final'!#REF!="Mayor"),CONCATENATE("R2C",'Mapa final'!#REF!),"")</f>
        <v>#REF!</v>
      </c>
      <c r="AG17" s="54" t="e">
        <f>IF(AND('Mapa final'!#REF!="Alta",'Mapa final'!#REF!="Mayor"),CONCATENATE("R2C",'Mapa final'!#REF!),"")</f>
        <v>#REF!</v>
      </c>
      <c r="AH17" s="55" t="str">
        <f>IF(AND('Mapa final'!$Z$13="Alta",'Mapa final'!$AB$13="Catastrófico"),CONCATENATE("R2C",'Mapa final'!$P$13),"")</f>
        <v/>
      </c>
      <c r="AI17" s="56" t="str">
        <f>IF(AND('Mapa final'!$Z$14="Alta",'Mapa final'!$AB$14="Catastrófico"),CONCATENATE("R2C",'Mapa final'!$P$14),"")</f>
        <v/>
      </c>
      <c r="AJ17" s="56" t="str">
        <f>IF(AND('Mapa final'!$Z$15="Alta",'Mapa final'!$AB$15="Catastrófico"),CONCATENATE("R2C",'Mapa final'!$P$15),"")</f>
        <v/>
      </c>
      <c r="AK17" s="56" t="e">
        <f>IF(AND('Mapa final'!#REF!="Alta",'Mapa final'!#REF!="Catastrófico"),CONCATENATE("R2C",'Mapa final'!#REF!),"")</f>
        <v>#REF!</v>
      </c>
      <c r="AL17" s="56" t="e">
        <f>IF(AND('Mapa final'!#REF!="Alta",'Mapa final'!#REF!="Catastrófico"),CONCATENATE("R2C",'Mapa final'!#REF!),"")</f>
        <v>#REF!</v>
      </c>
      <c r="AM17" s="57" t="e">
        <f>IF(AND('Mapa final'!#REF!="Alta",'Mapa final'!#REF!="Catastrófico"),CONCATENATE("R2C",'Mapa final'!#REF!),"")</f>
        <v>#REF!</v>
      </c>
      <c r="AN17" s="83"/>
      <c r="AO17" s="325"/>
      <c r="AP17" s="326"/>
      <c r="AQ17" s="326"/>
      <c r="AR17" s="326"/>
      <c r="AS17" s="326"/>
      <c r="AT17" s="327"/>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236"/>
      <c r="C18" s="236"/>
      <c r="D18" s="237"/>
      <c r="E18" s="335"/>
      <c r="F18" s="334"/>
      <c r="G18" s="334"/>
      <c r="H18" s="334"/>
      <c r="I18" s="334"/>
      <c r="J18" s="67" t="str">
        <f>IF(AND('Mapa final'!$Z$16="Alta",'Mapa final'!$AB$16="Leve"),CONCATENATE("R3C",'Mapa final'!$P$16),"")</f>
        <v/>
      </c>
      <c r="K18" s="68" t="str">
        <f>IF(AND('Mapa final'!$Z$17="Alta",'Mapa final'!$AB$17="Leve"),CONCATENATE("R3C",'Mapa final'!$P$17),"")</f>
        <v/>
      </c>
      <c r="L18" s="68" t="str">
        <f>IF(AND('Mapa final'!$Z$18="Alta",'Mapa final'!$AB$18="Leve"),CONCATENATE("R3C",'Mapa final'!$P$18),"")</f>
        <v/>
      </c>
      <c r="M18" s="68" t="e">
        <f>IF(AND('Mapa final'!#REF!="Alta",'Mapa final'!#REF!="Leve"),CONCATENATE("R3C",'Mapa final'!#REF!),"")</f>
        <v>#REF!</v>
      </c>
      <c r="N18" s="68" t="e">
        <f>IF(AND('Mapa final'!#REF!="Alta",'Mapa final'!#REF!="Leve"),CONCATENATE("R3C",'Mapa final'!#REF!),"")</f>
        <v>#REF!</v>
      </c>
      <c r="O18" s="69" t="e">
        <f>IF(AND('Mapa final'!#REF!="Alta",'Mapa final'!#REF!="Leve"),CONCATENATE("R3C",'Mapa final'!#REF!),"")</f>
        <v>#REF!</v>
      </c>
      <c r="P18" s="67" t="str">
        <f>IF(AND('Mapa final'!$Z$16="Alta",'Mapa final'!$AB$16="Menor"),CONCATENATE("R3C",'Mapa final'!$P$16),"")</f>
        <v/>
      </c>
      <c r="Q18" s="68" t="str">
        <f>IF(AND('Mapa final'!$Z$17="Alta",'Mapa final'!$AB$17="Menor"),CONCATENATE("R3C",'Mapa final'!$P$17),"")</f>
        <v/>
      </c>
      <c r="R18" s="68" t="str">
        <f>IF(AND('Mapa final'!$Z$18="Alta",'Mapa final'!$AB$18="Menor"),CONCATENATE("R3C",'Mapa final'!$P$18),"")</f>
        <v/>
      </c>
      <c r="S18" s="68" t="e">
        <f>IF(AND('Mapa final'!#REF!="Alta",'Mapa final'!#REF!="Menor"),CONCATENATE("R3C",'Mapa final'!#REF!),"")</f>
        <v>#REF!</v>
      </c>
      <c r="T18" s="68" t="e">
        <f>IF(AND('Mapa final'!#REF!="Alta",'Mapa final'!#REF!="Menor"),CONCATENATE("R3C",'Mapa final'!#REF!),"")</f>
        <v>#REF!</v>
      </c>
      <c r="U18" s="69" t="e">
        <f>IF(AND('Mapa final'!#REF!="Alta",'Mapa final'!#REF!="Menor"),CONCATENATE("R3C",'Mapa final'!#REF!),"")</f>
        <v>#REF!</v>
      </c>
      <c r="V18" s="52" t="str">
        <f>IF(AND('Mapa final'!$Z$16="Alta",'Mapa final'!$AB$16="Moderado"),CONCATENATE("R3C",'Mapa final'!$P$16),"")</f>
        <v/>
      </c>
      <c r="W18" s="53" t="str">
        <f>IF(AND('Mapa final'!$Z$17="Alta",'Mapa final'!$AB$17="Moderado"),CONCATENATE("R3C",'Mapa final'!$P$17),"")</f>
        <v/>
      </c>
      <c r="X18" s="53" t="str">
        <f>IF(AND('Mapa final'!$Z$18="Alta",'Mapa final'!$AB$18="Moderado"),CONCATENATE("R3C",'Mapa final'!$P$18),"")</f>
        <v/>
      </c>
      <c r="Y18" s="53" t="e">
        <f>IF(AND('Mapa final'!#REF!="Alta",'Mapa final'!#REF!="Moderado"),CONCATENATE("R3C",'Mapa final'!#REF!),"")</f>
        <v>#REF!</v>
      </c>
      <c r="Z18" s="53" t="e">
        <f>IF(AND('Mapa final'!#REF!="Alta",'Mapa final'!#REF!="Moderado"),CONCATENATE("R3C",'Mapa final'!#REF!),"")</f>
        <v>#REF!</v>
      </c>
      <c r="AA18" s="54" t="e">
        <f>IF(AND('Mapa final'!#REF!="Alta",'Mapa final'!#REF!="Moderado"),CONCATENATE("R3C",'Mapa final'!#REF!),"")</f>
        <v>#REF!</v>
      </c>
      <c r="AB18" s="52" t="str">
        <f>IF(AND('Mapa final'!$Z$16="Alta",'Mapa final'!$AB$16="Mayor"),CONCATENATE("R3C",'Mapa final'!$P$16),"")</f>
        <v/>
      </c>
      <c r="AC18" s="53" t="str">
        <f>IF(AND('Mapa final'!$Z$17="Alta",'Mapa final'!$AB$17="Mayor"),CONCATENATE("R3C",'Mapa final'!$P$17),"")</f>
        <v/>
      </c>
      <c r="AD18" s="53" t="str">
        <f>IF(AND('Mapa final'!$Z$18="Alta",'Mapa final'!$AB$18="Mayor"),CONCATENATE("R3C",'Mapa final'!$P$18),"")</f>
        <v/>
      </c>
      <c r="AE18" s="53" t="e">
        <f>IF(AND('Mapa final'!#REF!="Alta",'Mapa final'!#REF!="Mayor"),CONCATENATE("R3C",'Mapa final'!#REF!),"")</f>
        <v>#REF!</v>
      </c>
      <c r="AF18" s="53" t="e">
        <f>IF(AND('Mapa final'!#REF!="Alta",'Mapa final'!#REF!="Mayor"),CONCATENATE("R3C",'Mapa final'!#REF!),"")</f>
        <v>#REF!</v>
      </c>
      <c r="AG18" s="54" t="e">
        <f>IF(AND('Mapa final'!#REF!="Alta",'Mapa final'!#REF!="Mayor"),CONCATENATE("R3C",'Mapa final'!#REF!),"")</f>
        <v>#REF!</v>
      </c>
      <c r="AH18" s="55" t="str">
        <f>IF(AND('Mapa final'!$Z$16="Alta",'Mapa final'!$AB$16="Catastrófico"),CONCATENATE("R3C",'Mapa final'!$P$16),"")</f>
        <v/>
      </c>
      <c r="AI18" s="56" t="str">
        <f>IF(AND('Mapa final'!$Z$17="Alta",'Mapa final'!$AB$17="Catastrófico"),CONCATENATE("R3C",'Mapa final'!$P$17),"")</f>
        <v/>
      </c>
      <c r="AJ18" s="56" t="str">
        <f>IF(AND('Mapa final'!$Z$18="Alta",'Mapa final'!$AB$18="Catastrófico"),CONCATENATE("R3C",'Mapa final'!$P$18),"")</f>
        <v/>
      </c>
      <c r="AK18" s="56" t="e">
        <f>IF(AND('Mapa final'!#REF!="Alta",'Mapa final'!#REF!="Catastrófico"),CONCATENATE("R3C",'Mapa final'!#REF!),"")</f>
        <v>#REF!</v>
      </c>
      <c r="AL18" s="56" t="e">
        <f>IF(AND('Mapa final'!#REF!="Alta",'Mapa final'!#REF!="Catastrófico"),CONCATENATE("R3C",'Mapa final'!#REF!),"")</f>
        <v>#REF!</v>
      </c>
      <c r="AM18" s="57" t="e">
        <f>IF(AND('Mapa final'!#REF!="Alta",'Mapa final'!#REF!="Catastrófico"),CONCATENATE("R3C",'Mapa final'!#REF!),"")</f>
        <v>#REF!</v>
      </c>
      <c r="AN18" s="83"/>
      <c r="AO18" s="325"/>
      <c r="AP18" s="326"/>
      <c r="AQ18" s="326"/>
      <c r="AR18" s="326"/>
      <c r="AS18" s="326"/>
      <c r="AT18" s="327"/>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236"/>
      <c r="C19" s="236"/>
      <c r="D19" s="237"/>
      <c r="E19" s="335"/>
      <c r="F19" s="334"/>
      <c r="G19" s="334"/>
      <c r="H19" s="334"/>
      <c r="I19" s="334"/>
      <c r="J19" s="67" t="str">
        <f>IF(AND('Mapa final'!$Z$19="Alta",'Mapa final'!$AB$19="Leve"),CONCATENATE("R4C",'Mapa final'!$P$19),"")</f>
        <v/>
      </c>
      <c r="K19" s="68" t="str">
        <f>IF(AND('Mapa final'!$Z$20="Alta",'Mapa final'!$AB$20="Leve"),CONCATENATE("R4C",'Mapa final'!$P$20),"")</f>
        <v/>
      </c>
      <c r="L19" s="68" t="str">
        <f>IF(AND('Mapa final'!$Z$21="Alta",'Mapa final'!$AB$21="Leve"),CONCATENATE("R4C",'Mapa final'!$P$21),"")</f>
        <v/>
      </c>
      <c r="M19" s="68" t="e">
        <f>IF(AND('Mapa final'!#REF!="Alta",'Mapa final'!#REF!="Leve"),CONCATENATE("R4C",'Mapa final'!#REF!),"")</f>
        <v>#REF!</v>
      </c>
      <c r="N19" s="68" t="e">
        <f>IF(AND('Mapa final'!#REF!="Alta",'Mapa final'!#REF!="Leve"),CONCATENATE("R4C",'Mapa final'!#REF!),"")</f>
        <v>#REF!</v>
      </c>
      <c r="O19" s="69" t="e">
        <f>IF(AND('Mapa final'!#REF!="Alta",'Mapa final'!#REF!="Leve"),CONCATENATE("R4C",'Mapa final'!#REF!),"")</f>
        <v>#REF!</v>
      </c>
      <c r="P19" s="67" t="str">
        <f>IF(AND('Mapa final'!$Z$19="Alta",'Mapa final'!$AB$19="Menor"),CONCATENATE("R4C",'Mapa final'!$P$19),"")</f>
        <v/>
      </c>
      <c r="Q19" s="68" t="str">
        <f>IF(AND('Mapa final'!$Z$20="Alta",'Mapa final'!$AB$20="Menor"),CONCATENATE("R4C",'Mapa final'!$P$20),"")</f>
        <v/>
      </c>
      <c r="R19" s="68" t="str">
        <f>IF(AND('Mapa final'!$Z$21="Alta",'Mapa final'!$AB$21="Menor"),CONCATENATE("R4C",'Mapa final'!$P$21),"")</f>
        <v/>
      </c>
      <c r="S19" s="68" t="e">
        <f>IF(AND('Mapa final'!#REF!="Alta",'Mapa final'!#REF!="Menor"),CONCATENATE("R4C",'Mapa final'!#REF!),"")</f>
        <v>#REF!</v>
      </c>
      <c r="T19" s="68" t="e">
        <f>IF(AND('Mapa final'!#REF!="Alta",'Mapa final'!#REF!="Menor"),CONCATENATE("R4C",'Mapa final'!#REF!),"")</f>
        <v>#REF!</v>
      </c>
      <c r="U19" s="69" t="e">
        <f>IF(AND('Mapa final'!#REF!="Alta",'Mapa final'!#REF!="Menor"),CONCATENATE("R4C",'Mapa final'!#REF!),"")</f>
        <v>#REF!</v>
      </c>
      <c r="V19" s="52" t="str">
        <f>IF(AND('Mapa final'!$Z$19="Alta",'Mapa final'!$AB$19="Moderado"),CONCATENATE("R4C",'Mapa final'!$P$19),"")</f>
        <v/>
      </c>
      <c r="W19" s="53" t="str">
        <f>IF(AND('Mapa final'!$Z$20="Alta",'Mapa final'!$AB$20="Moderado"),CONCATENATE("R4C",'Mapa final'!$P$20),"")</f>
        <v/>
      </c>
      <c r="X19" s="53" t="str">
        <f>IF(AND('Mapa final'!$Z$21="Alta",'Mapa final'!$AB$21="Moderado"),CONCATENATE("R4C",'Mapa final'!$P$21),"")</f>
        <v/>
      </c>
      <c r="Y19" s="53" t="e">
        <f>IF(AND('Mapa final'!#REF!="Alta",'Mapa final'!#REF!="Moderado"),CONCATENATE("R4C",'Mapa final'!#REF!),"")</f>
        <v>#REF!</v>
      </c>
      <c r="Z19" s="53" t="e">
        <f>IF(AND('Mapa final'!#REF!="Alta",'Mapa final'!#REF!="Moderado"),CONCATENATE("R4C",'Mapa final'!#REF!),"")</f>
        <v>#REF!</v>
      </c>
      <c r="AA19" s="54" t="e">
        <f>IF(AND('Mapa final'!#REF!="Alta",'Mapa final'!#REF!="Moderado"),CONCATENATE("R4C",'Mapa final'!#REF!),"")</f>
        <v>#REF!</v>
      </c>
      <c r="AB19" s="52" t="str">
        <f>IF(AND('Mapa final'!$Z$19="Alta",'Mapa final'!$AB$19="Mayor"),CONCATENATE("R4C",'Mapa final'!$P$19),"")</f>
        <v/>
      </c>
      <c r="AC19" s="53" t="str">
        <f>IF(AND('Mapa final'!$Z$20="Alta",'Mapa final'!$AB$20="Mayor"),CONCATENATE("R4C",'Mapa final'!$P$20),"")</f>
        <v/>
      </c>
      <c r="AD19" s="53" t="str">
        <f>IF(AND('Mapa final'!$Z$21="Alta",'Mapa final'!$AB$21="Mayor"),CONCATENATE("R4C",'Mapa final'!$P$21),"")</f>
        <v/>
      </c>
      <c r="AE19" s="53" t="e">
        <f>IF(AND('Mapa final'!#REF!="Alta",'Mapa final'!#REF!="Mayor"),CONCATENATE("R4C",'Mapa final'!#REF!),"")</f>
        <v>#REF!</v>
      </c>
      <c r="AF19" s="53" t="e">
        <f>IF(AND('Mapa final'!#REF!="Alta",'Mapa final'!#REF!="Mayor"),CONCATENATE("R4C",'Mapa final'!#REF!),"")</f>
        <v>#REF!</v>
      </c>
      <c r="AG19" s="54" t="e">
        <f>IF(AND('Mapa final'!#REF!="Alta",'Mapa final'!#REF!="Mayor"),CONCATENATE("R4C",'Mapa final'!#REF!),"")</f>
        <v>#REF!</v>
      </c>
      <c r="AH19" s="55" t="str">
        <f>IF(AND('Mapa final'!$Z$19="Alta",'Mapa final'!$AB$19="Catastrófico"),CONCATENATE("R4C",'Mapa final'!$P$19),"")</f>
        <v/>
      </c>
      <c r="AI19" s="56" t="str">
        <f>IF(AND('Mapa final'!$Z$20="Alta",'Mapa final'!$AB$20="Catastrófico"),CONCATENATE("R4C",'Mapa final'!$P$20),"")</f>
        <v/>
      </c>
      <c r="AJ19" s="56" t="str">
        <f>IF(AND('Mapa final'!$Z$21="Alta",'Mapa final'!$AB$21="Catastrófico"),CONCATENATE("R4C",'Mapa final'!$P$21),"")</f>
        <v/>
      </c>
      <c r="AK19" s="56" t="e">
        <f>IF(AND('Mapa final'!#REF!="Alta",'Mapa final'!#REF!="Catastrófico"),CONCATENATE("R4C",'Mapa final'!#REF!),"")</f>
        <v>#REF!</v>
      </c>
      <c r="AL19" s="56" t="e">
        <f>IF(AND('Mapa final'!#REF!="Alta",'Mapa final'!#REF!="Catastrófico"),CONCATENATE("R4C",'Mapa final'!#REF!),"")</f>
        <v>#REF!</v>
      </c>
      <c r="AM19" s="57" t="e">
        <f>IF(AND('Mapa final'!#REF!="Alta",'Mapa final'!#REF!="Catastrófico"),CONCATENATE("R4C",'Mapa final'!#REF!),"")</f>
        <v>#REF!</v>
      </c>
      <c r="AN19" s="83"/>
      <c r="AO19" s="325"/>
      <c r="AP19" s="326"/>
      <c r="AQ19" s="326"/>
      <c r="AR19" s="326"/>
      <c r="AS19" s="326"/>
      <c r="AT19" s="327"/>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236"/>
      <c r="C20" s="236"/>
      <c r="D20" s="237"/>
      <c r="E20" s="335"/>
      <c r="F20" s="334"/>
      <c r="G20" s="334"/>
      <c r="H20" s="334"/>
      <c r="I20" s="334"/>
      <c r="J20" s="67" t="e">
        <f>IF(AND('Mapa final'!#REF!="Alta",'Mapa final'!#REF!="Leve"),CONCATENATE("R5C",'Mapa final'!#REF!),"")</f>
        <v>#REF!</v>
      </c>
      <c r="K20" s="68" t="e">
        <f>IF(AND('Mapa final'!#REF!="Alta",'Mapa final'!#REF!="Leve"),CONCATENATE("R5C",'Mapa final'!#REF!),"")</f>
        <v>#REF!</v>
      </c>
      <c r="L20" s="68" t="e">
        <f>IF(AND('Mapa final'!#REF!="Alta",'Mapa final'!#REF!="Leve"),CONCATENATE("R5C",'Mapa final'!#REF!),"")</f>
        <v>#REF!</v>
      </c>
      <c r="M20" s="68" t="e">
        <f>IF(AND('Mapa final'!#REF!="Alta",'Mapa final'!#REF!="Leve"),CONCATENATE("R5C",'Mapa final'!#REF!),"")</f>
        <v>#REF!</v>
      </c>
      <c r="N20" s="68" t="e">
        <f>IF(AND('Mapa final'!#REF!="Alta",'Mapa final'!#REF!="Leve"),CONCATENATE("R5C",'Mapa final'!#REF!),"")</f>
        <v>#REF!</v>
      </c>
      <c r="O20" s="69" t="e">
        <f>IF(AND('Mapa final'!#REF!="Alta",'Mapa final'!#REF!="Leve"),CONCATENATE("R5C",'Mapa final'!#REF!),"")</f>
        <v>#REF!</v>
      </c>
      <c r="P20" s="67" t="e">
        <f>IF(AND('Mapa final'!#REF!="Alta",'Mapa final'!#REF!="Menor"),CONCATENATE("R5C",'Mapa final'!#REF!),"")</f>
        <v>#REF!</v>
      </c>
      <c r="Q20" s="68" t="e">
        <f>IF(AND('Mapa final'!#REF!="Alta",'Mapa final'!#REF!="Menor"),CONCATENATE("R5C",'Mapa final'!#REF!),"")</f>
        <v>#REF!</v>
      </c>
      <c r="R20" s="68" t="e">
        <f>IF(AND('Mapa final'!#REF!="Alta",'Mapa final'!#REF!="Menor"),CONCATENATE("R5C",'Mapa final'!#REF!),"")</f>
        <v>#REF!</v>
      </c>
      <c r="S20" s="68" t="e">
        <f>IF(AND('Mapa final'!#REF!="Alta",'Mapa final'!#REF!="Menor"),CONCATENATE("R5C",'Mapa final'!#REF!),"")</f>
        <v>#REF!</v>
      </c>
      <c r="T20" s="68" t="e">
        <f>IF(AND('Mapa final'!#REF!="Alta",'Mapa final'!#REF!="Menor"),CONCATENATE("R5C",'Mapa final'!#REF!),"")</f>
        <v>#REF!</v>
      </c>
      <c r="U20" s="69" t="e">
        <f>IF(AND('Mapa final'!#REF!="Alta",'Mapa final'!#REF!="Menor"),CONCATENATE("R5C",'Mapa final'!#REF!),"")</f>
        <v>#REF!</v>
      </c>
      <c r="V20" s="52" t="e">
        <f>IF(AND('Mapa final'!#REF!="Alta",'Mapa final'!#REF!="Moderado"),CONCATENATE("R5C",'Mapa final'!#REF!),"")</f>
        <v>#REF!</v>
      </c>
      <c r="W20" s="53" t="e">
        <f>IF(AND('Mapa final'!#REF!="Alta",'Mapa final'!#REF!="Moderado"),CONCATENATE("R5C",'Mapa final'!#REF!),"")</f>
        <v>#REF!</v>
      </c>
      <c r="X20" s="53" t="e">
        <f>IF(AND('Mapa final'!#REF!="Alta",'Mapa final'!#REF!="Moderado"),CONCATENATE("R5C",'Mapa final'!#REF!),"")</f>
        <v>#REF!</v>
      </c>
      <c r="Y20" s="53" t="e">
        <f>IF(AND('Mapa final'!#REF!="Alta",'Mapa final'!#REF!="Moderado"),CONCATENATE("R5C",'Mapa final'!#REF!),"")</f>
        <v>#REF!</v>
      </c>
      <c r="Z20" s="53" t="e">
        <f>IF(AND('Mapa final'!#REF!="Alta",'Mapa final'!#REF!="Moderado"),CONCATENATE("R5C",'Mapa final'!#REF!),"")</f>
        <v>#REF!</v>
      </c>
      <c r="AA20" s="54" t="e">
        <f>IF(AND('Mapa final'!#REF!="Alta",'Mapa final'!#REF!="Moderado"),CONCATENATE("R5C",'Mapa final'!#REF!),"")</f>
        <v>#REF!</v>
      </c>
      <c r="AB20" s="52" t="e">
        <f>IF(AND('Mapa final'!#REF!="Alta",'Mapa final'!#REF!="Mayor"),CONCATENATE("R5C",'Mapa final'!#REF!),"")</f>
        <v>#REF!</v>
      </c>
      <c r="AC20" s="53" t="e">
        <f>IF(AND('Mapa final'!#REF!="Alta",'Mapa final'!#REF!="Mayor"),CONCATENATE("R5C",'Mapa final'!#REF!),"")</f>
        <v>#REF!</v>
      </c>
      <c r="AD20" s="53" t="e">
        <f>IF(AND('Mapa final'!#REF!="Alta",'Mapa final'!#REF!="Mayor"),CONCATENATE("R5C",'Mapa final'!#REF!),"")</f>
        <v>#REF!</v>
      </c>
      <c r="AE20" s="53" t="e">
        <f>IF(AND('Mapa final'!#REF!="Alta",'Mapa final'!#REF!="Mayor"),CONCATENATE("R5C",'Mapa final'!#REF!),"")</f>
        <v>#REF!</v>
      </c>
      <c r="AF20" s="53" t="e">
        <f>IF(AND('Mapa final'!#REF!="Alta",'Mapa final'!#REF!="Mayor"),CONCATENATE("R5C",'Mapa final'!#REF!),"")</f>
        <v>#REF!</v>
      </c>
      <c r="AG20" s="54" t="e">
        <f>IF(AND('Mapa final'!#REF!="Alta",'Mapa final'!#REF!="Mayor"),CONCATENATE("R5C",'Mapa final'!#REF!),"")</f>
        <v>#REF!</v>
      </c>
      <c r="AH20" s="55" t="e">
        <f>IF(AND('Mapa final'!#REF!="Alta",'Mapa final'!#REF!="Catastrófico"),CONCATENATE("R5C",'Mapa final'!#REF!),"")</f>
        <v>#REF!</v>
      </c>
      <c r="AI20" s="56" t="e">
        <f>IF(AND('Mapa final'!#REF!="Alta",'Mapa final'!#REF!="Catastrófico"),CONCATENATE("R5C",'Mapa final'!#REF!),"")</f>
        <v>#REF!</v>
      </c>
      <c r="AJ20" s="56" t="e">
        <f>IF(AND('Mapa final'!#REF!="Alta",'Mapa final'!#REF!="Catastrófico"),CONCATENATE("R5C",'Mapa final'!#REF!),"")</f>
        <v>#REF!</v>
      </c>
      <c r="AK20" s="56" t="e">
        <f>IF(AND('Mapa final'!#REF!="Alta",'Mapa final'!#REF!="Catastrófico"),CONCATENATE("R5C",'Mapa final'!#REF!),"")</f>
        <v>#REF!</v>
      </c>
      <c r="AL20" s="56" t="e">
        <f>IF(AND('Mapa final'!#REF!="Alta",'Mapa final'!#REF!="Catastrófico"),CONCATENATE("R5C",'Mapa final'!#REF!),"")</f>
        <v>#REF!</v>
      </c>
      <c r="AM20" s="57" t="e">
        <f>IF(AND('Mapa final'!#REF!="Alta",'Mapa final'!#REF!="Catastrófico"),CONCATENATE("R5C",'Mapa final'!#REF!),"")</f>
        <v>#REF!</v>
      </c>
      <c r="AN20" s="83"/>
      <c r="AO20" s="325"/>
      <c r="AP20" s="326"/>
      <c r="AQ20" s="326"/>
      <c r="AR20" s="326"/>
      <c r="AS20" s="326"/>
      <c r="AT20" s="327"/>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236"/>
      <c r="C21" s="236"/>
      <c r="D21" s="237"/>
      <c r="E21" s="335"/>
      <c r="F21" s="334"/>
      <c r="G21" s="334"/>
      <c r="H21" s="334"/>
      <c r="I21" s="334"/>
      <c r="J21" s="67" t="str">
        <f>IF(AND('Mapa final'!$Z$22="Alta",'Mapa final'!$AB$22="Leve"),CONCATENATE("R6C",'Mapa final'!$P$22),"")</f>
        <v/>
      </c>
      <c r="K21" s="68" t="str">
        <f>IF(AND('Mapa final'!$Z$23="Alta",'Mapa final'!$AB$23="Leve"),CONCATENATE("R6C",'Mapa final'!$P$23),"")</f>
        <v/>
      </c>
      <c r="L21" s="68" t="str">
        <f>IF(AND('Mapa final'!$Z$24="Alta",'Mapa final'!$AB$24="Leve"),CONCATENATE("R6C",'Mapa final'!$P$24),"")</f>
        <v/>
      </c>
      <c r="M21" s="68" t="e">
        <f>IF(AND('Mapa final'!#REF!="Alta",'Mapa final'!#REF!="Leve"),CONCATENATE("R6C",'Mapa final'!#REF!),"")</f>
        <v>#REF!</v>
      </c>
      <c r="N21" s="68" t="e">
        <f>IF(AND('Mapa final'!#REF!="Alta",'Mapa final'!#REF!="Leve"),CONCATENATE("R6C",'Mapa final'!#REF!),"")</f>
        <v>#REF!</v>
      </c>
      <c r="O21" s="69" t="e">
        <f>IF(AND('Mapa final'!#REF!="Alta",'Mapa final'!#REF!="Leve"),CONCATENATE("R6C",'Mapa final'!#REF!),"")</f>
        <v>#REF!</v>
      </c>
      <c r="P21" s="67" t="str">
        <f>IF(AND('Mapa final'!$Z$22="Alta",'Mapa final'!$AB$22="Menor"),CONCATENATE("R6C",'Mapa final'!$P$22),"")</f>
        <v/>
      </c>
      <c r="Q21" s="68" t="str">
        <f>IF(AND('Mapa final'!$Z$23="Alta",'Mapa final'!$AB$23="Menor"),CONCATENATE("R6C",'Mapa final'!$P$23),"")</f>
        <v/>
      </c>
      <c r="R21" s="68" t="str">
        <f>IF(AND('Mapa final'!$Z$24="Alta",'Mapa final'!$AB$24="Menor"),CONCATENATE("R6C",'Mapa final'!$P$24),"")</f>
        <v/>
      </c>
      <c r="S21" s="68" t="e">
        <f>IF(AND('Mapa final'!#REF!="Alta",'Mapa final'!#REF!="Menor"),CONCATENATE("R6C",'Mapa final'!#REF!),"")</f>
        <v>#REF!</v>
      </c>
      <c r="T21" s="68" t="e">
        <f>IF(AND('Mapa final'!#REF!="Alta",'Mapa final'!#REF!="Menor"),CONCATENATE("R6C",'Mapa final'!#REF!),"")</f>
        <v>#REF!</v>
      </c>
      <c r="U21" s="69" t="e">
        <f>IF(AND('Mapa final'!#REF!="Alta",'Mapa final'!#REF!="Menor"),CONCATENATE("R6C",'Mapa final'!#REF!),"")</f>
        <v>#REF!</v>
      </c>
      <c r="V21" s="52" t="str">
        <f>IF(AND('Mapa final'!$Z$22="Alta",'Mapa final'!$AB$22="Moderado"),CONCATENATE("R6C",'Mapa final'!$P$22),"")</f>
        <v/>
      </c>
      <c r="W21" s="53" t="str">
        <f>IF(AND('Mapa final'!$Z$23="Alta",'Mapa final'!$AB$23="Moderado"),CONCATENATE("R6C",'Mapa final'!$P$23),"")</f>
        <v/>
      </c>
      <c r="X21" s="53" t="str">
        <f>IF(AND('Mapa final'!$Z$24="Alta",'Mapa final'!$AB$24="Moderado"),CONCATENATE("R6C",'Mapa final'!$P$24),"")</f>
        <v/>
      </c>
      <c r="Y21" s="53" t="e">
        <f>IF(AND('Mapa final'!#REF!="Alta",'Mapa final'!#REF!="Moderado"),CONCATENATE("R6C",'Mapa final'!#REF!),"")</f>
        <v>#REF!</v>
      </c>
      <c r="Z21" s="53" t="e">
        <f>IF(AND('Mapa final'!#REF!="Alta",'Mapa final'!#REF!="Moderado"),CONCATENATE("R6C",'Mapa final'!#REF!),"")</f>
        <v>#REF!</v>
      </c>
      <c r="AA21" s="54" t="e">
        <f>IF(AND('Mapa final'!#REF!="Alta",'Mapa final'!#REF!="Moderado"),CONCATENATE("R6C",'Mapa final'!#REF!),"")</f>
        <v>#REF!</v>
      </c>
      <c r="AB21" s="52" t="str">
        <f>IF(AND('Mapa final'!$Z$22="Alta",'Mapa final'!$AB$22="Mayor"),CONCATENATE("R6C",'Mapa final'!$P$22),"")</f>
        <v/>
      </c>
      <c r="AC21" s="53" t="str">
        <f>IF(AND('Mapa final'!$Z$23="Alta",'Mapa final'!$AB$23="Mayor"),CONCATENATE("R6C",'Mapa final'!$P$23),"")</f>
        <v/>
      </c>
      <c r="AD21" s="53" t="str">
        <f>IF(AND('Mapa final'!$Z$24="Alta",'Mapa final'!$AB$24="Mayor"),CONCATENATE("R6C",'Mapa final'!$P$24),"")</f>
        <v/>
      </c>
      <c r="AE21" s="53" t="e">
        <f>IF(AND('Mapa final'!#REF!="Alta",'Mapa final'!#REF!="Mayor"),CONCATENATE("R6C",'Mapa final'!#REF!),"")</f>
        <v>#REF!</v>
      </c>
      <c r="AF21" s="53" t="e">
        <f>IF(AND('Mapa final'!#REF!="Alta",'Mapa final'!#REF!="Mayor"),CONCATENATE("R6C",'Mapa final'!#REF!),"")</f>
        <v>#REF!</v>
      </c>
      <c r="AG21" s="54" t="e">
        <f>IF(AND('Mapa final'!#REF!="Alta",'Mapa final'!#REF!="Mayor"),CONCATENATE("R6C",'Mapa final'!#REF!),"")</f>
        <v>#REF!</v>
      </c>
      <c r="AH21" s="55" t="str">
        <f>IF(AND('Mapa final'!$Z$22="Alta",'Mapa final'!$AB$22="Catastrófico"),CONCATENATE("R6C",'Mapa final'!$P$22),"")</f>
        <v/>
      </c>
      <c r="AI21" s="56" t="str">
        <f>IF(AND('Mapa final'!$Z$23="Alta",'Mapa final'!$AB$23="Catastrófico"),CONCATENATE("R6C",'Mapa final'!$P$23),"")</f>
        <v/>
      </c>
      <c r="AJ21" s="56" t="str">
        <f>IF(AND('Mapa final'!$Z$24="Alta",'Mapa final'!$AB$24="Catastrófico"),CONCATENATE("R6C",'Mapa final'!$P$24),"")</f>
        <v/>
      </c>
      <c r="AK21" s="56" t="e">
        <f>IF(AND('Mapa final'!#REF!="Alta",'Mapa final'!#REF!="Catastrófico"),CONCATENATE("R6C",'Mapa final'!#REF!),"")</f>
        <v>#REF!</v>
      </c>
      <c r="AL21" s="56" t="e">
        <f>IF(AND('Mapa final'!#REF!="Alta",'Mapa final'!#REF!="Catastrófico"),CONCATENATE("R6C",'Mapa final'!#REF!),"")</f>
        <v>#REF!</v>
      </c>
      <c r="AM21" s="57" t="e">
        <f>IF(AND('Mapa final'!#REF!="Alta",'Mapa final'!#REF!="Catastrófico"),CONCATENATE("R6C",'Mapa final'!#REF!),"")</f>
        <v>#REF!</v>
      </c>
      <c r="AN21" s="83"/>
      <c r="AO21" s="325"/>
      <c r="AP21" s="326"/>
      <c r="AQ21" s="326"/>
      <c r="AR21" s="326"/>
      <c r="AS21" s="326"/>
      <c r="AT21" s="327"/>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236"/>
      <c r="C22" s="236"/>
      <c r="D22" s="237"/>
      <c r="E22" s="335"/>
      <c r="F22" s="334"/>
      <c r="G22" s="334"/>
      <c r="H22" s="334"/>
      <c r="I22" s="334"/>
      <c r="J22" s="67" t="e">
        <f>IF(AND('Mapa final'!#REF!="Alta",'Mapa final'!#REF!="Leve"),CONCATENATE("R7C",'Mapa final'!#REF!),"")</f>
        <v>#REF!</v>
      </c>
      <c r="K22" s="68" t="e">
        <f>IF(AND('Mapa final'!#REF!="Alta",'Mapa final'!#REF!="Leve"),CONCATENATE("R7C",'Mapa final'!#REF!),"")</f>
        <v>#REF!</v>
      </c>
      <c r="L22" s="68" t="e">
        <f>IF(AND('Mapa final'!#REF!="Alta",'Mapa final'!#REF!="Leve"),CONCATENATE("R7C",'Mapa final'!#REF!),"")</f>
        <v>#REF!</v>
      </c>
      <c r="M22" s="68" t="e">
        <f>IF(AND('Mapa final'!#REF!="Alta",'Mapa final'!#REF!="Leve"),CONCATENATE("R7C",'Mapa final'!#REF!),"")</f>
        <v>#REF!</v>
      </c>
      <c r="N22" s="68" t="e">
        <f>IF(AND('Mapa final'!#REF!="Alta",'Mapa final'!#REF!="Leve"),CONCATENATE("R7C",'Mapa final'!#REF!),"")</f>
        <v>#REF!</v>
      </c>
      <c r="O22" s="69" t="e">
        <f>IF(AND('Mapa final'!#REF!="Alta",'Mapa final'!#REF!="Leve"),CONCATENATE("R7C",'Mapa final'!#REF!),"")</f>
        <v>#REF!</v>
      </c>
      <c r="P22" s="67" t="e">
        <f>IF(AND('Mapa final'!#REF!="Alta",'Mapa final'!#REF!="Menor"),CONCATENATE("R7C",'Mapa final'!#REF!),"")</f>
        <v>#REF!</v>
      </c>
      <c r="Q22" s="68" t="e">
        <f>IF(AND('Mapa final'!#REF!="Alta",'Mapa final'!#REF!="Menor"),CONCATENATE("R7C",'Mapa final'!#REF!),"")</f>
        <v>#REF!</v>
      </c>
      <c r="R22" s="68" t="e">
        <f>IF(AND('Mapa final'!#REF!="Alta",'Mapa final'!#REF!="Menor"),CONCATENATE("R7C",'Mapa final'!#REF!),"")</f>
        <v>#REF!</v>
      </c>
      <c r="S22" s="68" t="e">
        <f>IF(AND('Mapa final'!#REF!="Alta",'Mapa final'!#REF!="Menor"),CONCATENATE("R7C",'Mapa final'!#REF!),"")</f>
        <v>#REF!</v>
      </c>
      <c r="T22" s="68" t="e">
        <f>IF(AND('Mapa final'!#REF!="Alta",'Mapa final'!#REF!="Menor"),CONCATENATE("R7C",'Mapa final'!#REF!),"")</f>
        <v>#REF!</v>
      </c>
      <c r="U22" s="69" t="e">
        <f>IF(AND('Mapa final'!#REF!="Alta",'Mapa final'!#REF!="Menor"),CONCATENATE("R7C",'Mapa final'!#REF!),"")</f>
        <v>#REF!</v>
      </c>
      <c r="V22" s="52" t="e">
        <f>IF(AND('Mapa final'!#REF!="Alta",'Mapa final'!#REF!="Moderado"),CONCATENATE("R7C",'Mapa final'!#REF!),"")</f>
        <v>#REF!</v>
      </c>
      <c r="W22" s="53" t="e">
        <f>IF(AND('Mapa final'!#REF!="Alta",'Mapa final'!#REF!="Moderado"),CONCATENATE("R7C",'Mapa final'!#REF!),"")</f>
        <v>#REF!</v>
      </c>
      <c r="X22" s="53" t="e">
        <f>IF(AND('Mapa final'!#REF!="Alta",'Mapa final'!#REF!="Moderado"),CONCATENATE("R7C",'Mapa final'!#REF!),"")</f>
        <v>#REF!</v>
      </c>
      <c r="Y22" s="53" t="e">
        <f>IF(AND('Mapa final'!#REF!="Alta",'Mapa final'!#REF!="Moderado"),CONCATENATE("R7C",'Mapa final'!#REF!),"")</f>
        <v>#REF!</v>
      </c>
      <c r="Z22" s="53" t="e">
        <f>IF(AND('Mapa final'!#REF!="Alta",'Mapa final'!#REF!="Moderado"),CONCATENATE("R7C",'Mapa final'!#REF!),"")</f>
        <v>#REF!</v>
      </c>
      <c r="AA22" s="54" t="e">
        <f>IF(AND('Mapa final'!#REF!="Alta",'Mapa final'!#REF!="Moderado"),CONCATENATE("R7C",'Mapa final'!#REF!),"")</f>
        <v>#REF!</v>
      </c>
      <c r="AB22" s="52" t="e">
        <f>IF(AND('Mapa final'!#REF!="Alta",'Mapa final'!#REF!="Mayor"),CONCATENATE("R7C",'Mapa final'!#REF!),"")</f>
        <v>#REF!</v>
      </c>
      <c r="AC22" s="53" t="e">
        <f>IF(AND('Mapa final'!#REF!="Alta",'Mapa final'!#REF!="Mayor"),CONCATENATE("R7C",'Mapa final'!#REF!),"")</f>
        <v>#REF!</v>
      </c>
      <c r="AD22" s="53" t="e">
        <f>IF(AND('Mapa final'!#REF!="Alta",'Mapa final'!#REF!="Mayor"),CONCATENATE("R7C",'Mapa final'!#REF!),"")</f>
        <v>#REF!</v>
      </c>
      <c r="AE22" s="53" t="e">
        <f>IF(AND('Mapa final'!#REF!="Alta",'Mapa final'!#REF!="Mayor"),CONCATENATE("R7C",'Mapa final'!#REF!),"")</f>
        <v>#REF!</v>
      </c>
      <c r="AF22" s="53" t="e">
        <f>IF(AND('Mapa final'!#REF!="Alta",'Mapa final'!#REF!="Mayor"),CONCATENATE("R7C",'Mapa final'!#REF!),"")</f>
        <v>#REF!</v>
      </c>
      <c r="AG22" s="54" t="e">
        <f>IF(AND('Mapa final'!#REF!="Alta",'Mapa final'!#REF!="Mayor"),CONCATENATE("R7C",'Mapa final'!#REF!),"")</f>
        <v>#REF!</v>
      </c>
      <c r="AH22" s="55" t="e">
        <f>IF(AND('Mapa final'!#REF!="Alta",'Mapa final'!#REF!="Catastrófico"),CONCATENATE("R7C",'Mapa final'!#REF!),"")</f>
        <v>#REF!</v>
      </c>
      <c r="AI22" s="56" t="e">
        <f>IF(AND('Mapa final'!#REF!="Alta",'Mapa final'!#REF!="Catastrófico"),CONCATENATE("R7C",'Mapa final'!#REF!),"")</f>
        <v>#REF!</v>
      </c>
      <c r="AJ22" s="56" t="e">
        <f>IF(AND('Mapa final'!#REF!="Alta",'Mapa final'!#REF!="Catastrófico"),CONCATENATE("R7C",'Mapa final'!#REF!),"")</f>
        <v>#REF!</v>
      </c>
      <c r="AK22" s="56" t="e">
        <f>IF(AND('Mapa final'!#REF!="Alta",'Mapa final'!#REF!="Catastrófico"),CONCATENATE("R7C",'Mapa final'!#REF!),"")</f>
        <v>#REF!</v>
      </c>
      <c r="AL22" s="56" t="e">
        <f>IF(AND('Mapa final'!#REF!="Alta",'Mapa final'!#REF!="Catastrófico"),CONCATENATE("R7C",'Mapa final'!#REF!),"")</f>
        <v>#REF!</v>
      </c>
      <c r="AM22" s="57" t="e">
        <f>IF(AND('Mapa final'!#REF!="Alta",'Mapa final'!#REF!="Catastrófico"),CONCATENATE("R7C",'Mapa final'!#REF!),"")</f>
        <v>#REF!</v>
      </c>
      <c r="AN22" s="83"/>
      <c r="AO22" s="325"/>
      <c r="AP22" s="326"/>
      <c r="AQ22" s="326"/>
      <c r="AR22" s="326"/>
      <c r="AS22" s="326"/>
      <c r="AT22" s="327"/>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236"/>
      <c r="C23" s="236"/>
      <c r="D23" s="237"/>
      <c r="E23" s="335"/>
      <c r="F23" s="334"/>
      <c r="G23" s="334"/>
      <c r="H23" s="334"/>
      <c r="I23" s="334"/>
      <c r="J23" s="67" t="e">
        <f>IF(AND('Mapa final'!#REF!="Alta",'Mapa final'!#REF!="Leve"),CONCATENATE("R8C",'Mapa final'!#REF!),"")</f>
        <v>#REF!</v>
      </c>
      <c r="K23" s="68" t="e">
        <f>IF(AND('Mapa final'!#REF!="Alta",'Mapa final'!#REF!="Leve"),CONCATENATE("R8C",'Mapa final'!#REF!),"")</f>
        <v>#REF!</v>
      </c>
      <c r="L23" s="68" t="e">
        <f>IF(AND('Mapa final'!#REF!="Alta",'Mapa final'!#REF!="Leve"),CONCATENATE("R8C",'Mapa final'!#REF!),"")</f>
        <v>#REF!</v>
      </c>
      <c r="M23" s="68" t="e">
        <f>IF(AND('Mapa final'!#REF!="Alta",'Mapa final'!#REF!="Leve"),CONCATENATE("R8C",'Mapa final'!#REF!),"")</f>
        <v>#REF!</v>
      </c>
      <c r="N23" s="68" t="e">
        <f>IF(AND('Mapa final'!#REF!="Alta",'Mapa final'!#REF!="Leve"),CONCATENATE("R8C",'Mapa final'!#REF!),"")</f>
        <v>#REF!</v>
      </c>
      <c r="O23" s="69" t="e">
        <f>IF(AND('Mapa final'!#REF!="Alta",'Mapa final'!#REF!="Leve"),CONCATENATE("R8C",'Mapa final'!#REF!),"")</f>
        <v>#REF!</v>
      </c>
      <c r="P23" s="67" t="e">
        <f>IF(AND('Mapa final'!#REF!="Alta",'Mapa final'!#REF!="Menor"),CONCATENATE("R8C",'Mapa final'!#REF!),"")</f>
        <v>#REF!</v>
      </c>
      <c r="Q23" s="68" t="e">
        <f>IF(AND('Mapa final'!#REF!="Alta",'Mapa final'!#REF!="Menor"),CONCATENATE("R8C",'Mapa final'!#REF!),"")</f>
        <v>#REF!</v>
      </c>
      <c r="R23" s="68" t="e">
        <f>IF(AND('Mapa final'!#REF!="Alta",'Mapa final'!#REF!="Menor"),CONCATENATE("R8C",'Mapa final'!#REF!),"")</f>
        <v>#REF!</v>
      </c>
      <c r="S23" s="68" t="e">
        <f>IF(AND('Mapa final'!#REF!="Alta",'Mapa final'!#REF!="Menor"),CONCATENATE("R8C",'Mapa final'!#REF!),"")</f>
        <v>#REF!</v>
      </c>
      <c r="T23" s="68" t="e">
        <f>IF(AND('Mapa final'!#REF!="Alta",'Mapa final'!#REF!="Menor"),CONCATENATE("R8C",'Mapa final'!#REF!),"")</f>
        <v>#REF!</v>
      </c>
      <c r="U23" s="69" t="e">
        <f>IF(AND('Mapa final'!#REF!="Alta",'Mapa final'!#REF!="Menor"),CONCATENATE("R8C",'Mapa final'!#REF!),"")</f>
        <v>#REF!</v>
      </c>
      <c r="V23" s="52" t="e">
        <f>IF(AND('Mapa final'!#REF!="Alta",'Mapa final'!#REF!="Moderado"),CONCATENATE("R8C",'Mapa final'!#REF!),"")</f>
        <v>#REF!</v>
      </c>
      <c r="W23" s="53" t="e">
        <f>IF(AND('Mapa final'!#REF!="Alta",'Mapa final'!#REF!="Moderado"),CONCATENATE("R8C",'Mapa final'!#REF!),"")</f>
        <v>#REF!</v>
      </c>
      <c r="X23" s="53" t="e">
        <f>IF(AND('Mapa final'!#REF!="Alta",'Mapa final'!#REF!="Moderado"),CONCATENATE("R8C",'Mapa final'!#REF!),"")</f>
        <v>#REF!</v>
      </c>
      <c r="Y23" s="53" t="e">
        <f>IF(AND('Mapa final'!#REF!="Alta",'Mapa final'!#REF!="Moderado"),CONCATENATE("R8C",'Mapa final'!#REF!),"")</f>
        <v>#REF!</v>
      </c>
      <c r="Z23" s="53" t="e">
        <f>IF(AND('Mapa final'!#REF!="Alta",'Mapa final'!#REF!="Moderado"),CONCATENATE("R8C",'Mapa final'!#REF!),"")</f>
        <v>#REF!</v>
      </c>
      <c r="AA23" s="54" t="e">
        <f>IF(AND('Mapa final'!#REF!="Alta",'Mapa final'!#REF!="Moderado"),CONCATENATE("R8C",'Mapa final'!#REF!),"")</f>
        <v>#REF!</v>
      </c>
      <c r="AB23" s="52" t="e">
        <f>IF(AND('Mapa final'!#REF!="Alta",'Mapa final'!#REF!="Mayor"),CONCATENATE("R8C",'Mapa final'!#REF!),"")</f>
        <v>#REF!</v>
      </c>
      <c r="AC23" s="53" t="e">
        <f>IF(AND('Mapa final'!#REF!="Alta",'Mapa final'!#REF!="Mayor"),CONCATENATE("R8C",'Mapa final'!#REF!),"")</f>
        <v>#REF!</v>
      </c>
      <c r="AD23" s="53" t="e">
        <f>IF(AND('Mapa final'!#REF!="Alta",'Mapa final'!#REF!="Mayor"),CONCATENATE("R8C",'Mapa final'!#REF!),"")</f>
        <v>#REF!</v>
      </c>
      <c r="AE23" s="53" t="e">
        <f>IF(AND('Mapa final'!#REF!="Alta",'Mapa final'!#REF!="Mayor"),CONCATENATE("R8C",'Mapa final'!#REF!),"")</f>
        <v>#REF!</v>
      </c>
      <c r="AF23" s="53" t="e">
        <f>IF(AND('Mapa final'!#REF!="Alta",'Mapa final'!#REF!="Mayor"),CONCATENATE("R8C",'Mapa final'!#REF!),"")</f>
        <v>#REF!</v>
      </c>
      <c r="AG23" s="54" t="e">
        <f>IF(AND('Mapa final'!#REF!="Alta",'Mapa final'!#REF!="Mayor"),CONCATENATE("R8C",'Mapa final'!#REF!),"")</f>
        <v>#REF!</v>
      </c>
      <c r="AH23" s="55" t="e">
        <f>IF(AND('Mapa final'!#REF!="Alta",'Mapa final'!#REF!="Catastrófico"),CONCATENATE("R8C",'Mapa final'!#REF!),"")</f>
        <v>#REF!</v>
      </c>
      <c r="AI23" s="56" t="e">
        <f>IF(AND('Mapa final'!#REF!="Alta",'Mapa final'!#REF!="Catastrófico"),CONCATENATE("R8C",'Mapa final'!#REF!),"")</f>
        <v>#REF!</v>
      </c>
      <c r="AJ23" s="56" t="e">
        <f>IF(AND('Mapa final'!#REF!="Alta",'Mapa final'!#REF!="Catastrófico"),CONCATENATE("R8C",'Mapa final'!#REF!),"")</f>
        <v>#REF!</v>
      </c>
      <c r="AK23" s="56" t="e">
        <f>IF(AND('Mapa final'!#REF!="Alta",'Mapa final'!#REF!="Catastrófico"),CONCATENATE("R8C",'Mapa final'!#REF!),"")</f>
        <v>#REF!</v>
      </c>
      <c r="AL23" s="56" t="e">
        <f>IF(AND('Mapa final'!#REF!="Alta",'Mapa final'!#REF!="Catastrófico"),CONCATENATE("R8C",'Mapa final'!#REF!),"")</f>
        <v>#REF!</v>
      </c>
      <c r="AM23" s="57" t="e">
        <f>IF(AND('Mapa final'!#REF!="Alta",'Mapa final'!#REF!="Catastrófico"),CONCATENATE("R8C",'Mapa final'!#REF!),"")</f>
        <v>#REF!</v>
      </c>
      <c r="AN23" s="83"/>
      <c r="AO23" s="325"/>
      <c r="AP23" s="326"/>
      <c r="AQ23" s="326"/>
      <c r="AR23" s="326"/>
      <c r="AS23" s="326"/>
      <c r="AT23" s="327"/>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236"/>
      <c r="C24" s="236"/>
      <c r="D24" s="237"/>
      <c r="E24" s="335"/>
      <c r="F24" s="334"/>
      <c r="G24" s="334"/>
      <c r="H24" s="334"/>
      <c r="I24" s="334"/>
      <c r="J24" s="67" t="str">
        <f>IF(AND('Mapa final'!$Z$25="Alta",'Mapa final'!$AB$25="Leve"),CONCATENATE("R9C",'Mapa final'!$P$25),"")</f>
        <v/>
      </c>
      <c r="K24" s="68" t="str">
        <f>IF(AND('Mapa final'!$Z$26="Alta",'Mapa final'!$AB$26="Leve"),CONCATENATE("R9C",'Mapa final'!$P$26),"")</f>
        <v/>
      </c>
      <c r="L24" s="68" t="str">
        <f>IF(AND('Mapa final'!$Z$27="Alta",'Mapa final'!$AB$27="Leve"),CONCATENATE("R9C",'Mapa final'!$P$27),"")</f>
        <v/>
      </c>
      <c r="M24" s="68" t="e">
        <f>IF(AND('Mapa final'!#REF!="Alta",'Mapa final'!#REF!="Leve"),CONCATENATE("R9C",'Mapa final'!#REF!),"")</f>
        <v>#REF!</v>
      </c>
      <c r="N24" s="68" t="e">
        <f>IF(AND('Mapa final'!#REF!="Alta",'Mapa final'!#REF!="Leve"),CONCATENATE("R9C",'Mapa final'!#REF!),"")</f>
        <v>#REF!</v>
      </c>
      <c r="O24" s="69" t="e">
        <f>IF(AND('Mapa final'!#REF!="Alta",'Mapa final'!#REF!="Leve"),CONCATENATE("R9C",'Mapa final'!#REF!),"")</f>
        <v>#REF!</v>
      </c>
      <c r="P24" s="67" t="str">
        <f>IF(AND('Mapa final'!$Z$25="Alta",'Mapa final'!$AB$25="Menor"),CONCATENATE("R9C",'Mapa final'!$P$25),"")</f>
        <v/>
      </c>
      <c r="Q24" s="68" t="str">
        <f>IF(AND('Mapa final'!$Z$26="Alta",'Mapa final'!$AB$26="Menor"),CONCATENATE("R9C",'Mapa final'!$P$26),"")</f>
        <v/>
      </c>
      <c r="R24" s="68" t="str">
        <f>IF(AND('Mapa final'!$Z$27="Alta",'Mapa final'!$AB$27="Menor"),CONCATENATE("R9C",'Mapa final'!$P$27),"")</f>
        <v/>
      </c>
      <c r="S24" s="68" t="e">
        <f>IF(AND('Mapa final'!#REF!="Alta",'Mapa final'!#REF!="Menor"),CONCATENATE("R9C",'Mapa final'!#REF!),"")</f>
        <v>#REF!</v>
      </c>
      <c r="T24" s="68" t="e">
        <f>IF(AND('Mapa final'!#REF!="Alta",'Mapa final'!#REF!="Menor"),CONCATENATE("R9C",'Mapa final'!#REF!),"")</f>
        <v>#REF!</v>
      </c>
      <c r="U24" s="69" t="e">
        <f>IF(AND('Mapa final'!#REF!="Alta",'Mapa final'!#REF!="Menor"),CONCATENATE("R9C",'Mapa final'!#REF!),"")</f>
        <v>#REF!</v>
      </c>
      <c r="V24" s="52" t="str">
        <f>IF(AND('Mapa final'!$Z$25="Alta",'Mapa final'!$AB$25="Moderado"),CONCATENATE("R9C",'Mapa final'!$P$25),"")</f>
        <v/>
      </c>
      <c r="W24" s="53" t="str">
        <f>IF(AND('Mapa final'!$Z$26="Alta",'Mapa final'!$AB$26="Moderado"),CONCATENATE("R9C",'Mapa final'!$P$26),"")</f>
        <v/>
      </c>
      <c r="X24" s="53" t="str">
        <f>IF(AND('Mapa final'!$Z$27="Alta",'Mapa final'!$AB$27="Moderado"),CONCATENATE("R9C",'Mapa final'!$P$27),"")</f>
        <v/>
      </c>
      <c r="Y24" s="53" t="e">
        <f>IF(AND('Mapa final'!#REF!="Alta",'Mapa final'!#REF!="Moderado"),CONCATENATE("R9C",'Mapa final'!#REF!),"")</f>
        <v>#REF!</v>
      </c>
      <c r="Z24" s="53" t="e">
        <f>IF(AND('Mapa final'!#REF!="Alta",'Mapa final'!#REF!="Moderado"),CONCATENATE("R9C",'Mapa final'!#REF!),"")</f>
        <v>#REF!</v>
      </c>
      <c r="AA24" s="54" t="e">
        <f>IF(AND('Mapa final'!#REF!="Alta",'Mapa final'!#REF!="Moderado"),CONCATENATE("R9C",'Mapa final'!#REF!),"")</f>
        <v>#REF!</v>
      </c>
      <c r="AB24" s="52" t="str">
        <f>IF(AND('Mapa final'!$Z$25="Alta",'Mapa final'!$AB$25="Mayor"),CONCATENATE("R9C",'Mapa final'!$P$25),"")</f>
        <v/>
      </c>
      <c r="AC24" s="53" t="str">
        <f>IF(AND('Mapa final'!$Z$26="Alta",'Mapa final'!$AB$26="Mayor"),CONCATENATE("R9C",'Mapa final'!$P$26),"")</f>
        <v/>
      </c>
      <c r="AD24" s="53" t="str">
        <f>IF(AND('Mapa final'!$Z$27="Alta",'Mapa final'!$AB$27="Mayor"),CONCATENATE("R9C",'Mapa final'!$P$27),"")</f>
        <v/>
      </c>
      <c r="AE24" s="53" t="e">
        <f>IF(AND('Mapa final'!#REF!="Alta",'Mapa final'!#REF!="Mayor"),CONCATENATE("R9C",'Mapa final'!#REF!),"")</f>
        <v>#REF!</v>
      </c>
      <c r="AF24" s="53" t="e">
        <f>IF(AND('Mapa final'!#REF!="Alta",'Mapa final'!#REF!="Mayor"),CONCATENATE("R9C",'Mapa final'!#REF!),"")</f>
        <v>#REF!</v>
      </c>
      <c r="AG24" s="54" t="e">
        <f>IF(AND('Mapa final'!#REF!="Alta",'Mapa final'!#REF!="Mayor"),CONCATENATE("R9C",'Mapa final'!#REF!),"")</f>
        <v>#REF!</v>
      </c>
      <c r="AH24" s="55" t="str">
        <f>IF(AND('Mapa final'!$Z$25="Alta",'Mapa final'!$AB$25="Catastrófico"),CONCATENATE("R9C",'Mapa final'!$P$25),"")</f>
        <v/>
      </c>
      <c r="AI24" s="56" t="str">
        <f>IF(AND('Mapa final'!$Z$26="Alta",'Mapa final'!$AB$26="Catastrófico"),CONCATENATE("R9C",'Mapa final'!$P$26),"")</f>
        <v/>
      </c>
      <c r="AJ24" s="56" t="str">
        <f>IF(AND('Mapa final'!$Z$27="Alta",'Mapa final'!$AB$27="Catastrófico"),CONCATENATE("R9C",'Mapa final'!$P$27),"")</f>
        <v/>
      </c>
      <c r="AK24" s="56" t="e">
        <f>IF(AND('Mapa final'!#REF!="Alta",'Mapa final'!#REF!="Catastrófico"),CONCATENATE("R9C",'Mapa final'!#REF!),"")</f>
        <v>#REF!</v>
      </c>
      <c r="AL24" s="56" t="e">
        <f>IF(AND('Mapa final'!#REF!="Alta",'Mapa final'!#REF!="Catastrófico"),CONCATENATE("R9C",'Mapa final'!#REF!),"")</f>
        <v>#REF!</v>
      </c>
      <c r="AM24" s="57" t="e">
        <f>IF(AND('Mapa final'!#REF!="Alta",'Mapa final'!#REF!="Catastrófico"),CONCATENATE("R9C",'Mapa final'!#REF!),"")</f>
        <v>#REF!</v>
      </c>
      <c r="AN24" s="83"/>
      <c r="AO24" s="325"/>
      <c r="AP24" s="326"/>
      <c r="AQ24" s="326"/>
      <c r="AR24" s="326"/>
      <c r="AS24" s="326"/>
      <c r="AT24" s="327"/>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236"/>
      <c r="C25" s="236"/>
      <c r="D25" s="237"/>
      <c r="E25" s="336"/>
      <c r="F25" s="337"/>
      <c r="G25" s="337"/>
      <c r="H25" s="337"/>
      <c r="I25" s="337"/>
      <c r="J25" s="70" t="str">
        <f>IF(AND('Mapa final'!$Z$28="Alta",'Mapa final'!$AB$28="Leve"),CONCATENATE("R10C",'Mapa final'!$P$28),"")</f>
        <v/>
      </c>
      <c r="K25" s="71" t="str">
        <f>IF(AND('Mapa final'!$Z$29="Alta",'Mapa final'!$AB$29="Leve"),CONCATENATE("R10C",'Mapa final'!$P$29),"")</f>
        <v/>
      </c>
      <c r="L25" s="71" t="str">
        <f>IF(AND('Mapa final'!$Z$30="Alta",'Mapa final'!$AB$30="Leve"),CONCATENATE("R10C",'Mapa final'!$P$30),"")</f>
        <v/>
      </c>
      <c r="M25" s="71" t="e">
        <f>IF(AND('Mapa final'!#REF!="Alta",'Mapa final'!#REF!="Leve"),CONCATENATE("R10C",'Mapa final'!#REF!),"")</f>
        <v>#REF!</v>
      </c>
      <c r="N25" s="71" t="e">
        <f>IF(AND('Mapa final'!#REF!="Alta",'Mapa final'!#REF!="Leve"),CONCATENATE("R10C",'Mapa final'!#REF!),"")</f>
        <v>#REF!</v>
      </c>
      <c r="O25" s="72" t="e">
        <f>IF(AND('Mapa final'!#REF!="Alta",'Mapa final'!#REF!="Leve"),CONCATENATE("R10C",'Mapa final'!#REF!),"")</f>
        <v>#REF!</v>
      </c>
      <c r="P25" s="70" t="str">
        <f>IF(AND('Mapa final'!$Z$28="Alta",'Mapa final'!$AB$28="Menor"),CONCATENATE("R10C",'Mapa final'!$P$28),"")</f>
        <v/>
      </c>
      <c r="Q25" s="71" t="str">
        <f>IF(AND('Mapa final'!$Z$29="Alta",'Mapa final'!$AB$29="Menor"),CONCATENATE("R10C",'Mapa final'!$P$29),"")</f>
        <v/>
      </c>
      <c r="R25" s="71" t="str">
        <f>IF(AND('Mapa final'!$Z$30="Alta",'Mapa final'!$AB$30="Menor"),CONCATENATE("R10C",'Mapa final'!$P$30),"")</f>
        <v/>
      </c>
      <c r="S25" s="71" t="e">
        <f>IF(AND('Mapa final'!#REF!="Alta",'Mapa final'!#REF!="Menor"),CONCATENATE("R10C",'Mapa final'!#REF!),"")</f>
        <v>#REF!</v>
      </c>
      <c r="T25" s="71" t="e">
        <f>IF(AND('Mapa final'!#REF!="Alta",'Mapa final'!#REF!="Menor"),CONCATENATE("R10C",'Mapa final'!#REF!),"")</f>
        <v>#REF!</v>
      </c>
      <c r="U25" s="72" t="e">
        <f>IF(AND('Mapa final'!#REF!="Alta",'Mapa final'!#REF!="Menor"),CONCATENATE("R10C",'Mapa final'!#REF!),"")</f>
        <v>#REF!</v>
      </c>
      <c r="V25" s="58" t="str">
        <f>IF(AND('Mapa final'!$Z$28="Alta",'Mapa final'!$AB$28="Moderado"),CONCATENATE("R10C",'Mapa final'!$P$28),"")</f>
        <v/>
      </c>
      <c r="W25" s="59" t="str">
        <f>IF(AND('Mapa final'!$Z$29="Alta",'Mapa final'!$AB$29="Moderado"),CONCATENATE("R10C",'Mapa final'!$P$29),"")</f>
        <v/>
      </c>
      <c r="X25" s="59" t="str">
        <f>IF(AND('Mapa final'!$Z$30="Alta",'Mapa final'!$AB$30="Moderado"),CONCATENATE("R10C",'Mapa final'!$P$30),"")</f>
        <v/>
      </c>
      <c r="Y25" s="59" t="e">
        <f>IF(AND('Mapa final'!#REF!="Alta",'Mapa final'!#REF!="Moderado"),CONCATENATE("R10C",'Mapa final'!#REF!),"")</f>
        <v>#REF!</v>
      </c>
      <c r="Z25" s="59" t="e">
        <f>IF(AND('Mapa final'!#REF!="Alta",'Mapa final'!#REF!="Moderado"),CONCATENATE("R10C",'Mapa final'!#REF!),"")</f>
        <v>#REF!</v>
      </c>
      <c r="AA25" s="60" t="e">
        <f>IF(AND('Mapa final'!#REF!="Alta",'Mapa final'!#REF!="Moderado"),CONCATENATE("R10C",'Mapa final'!#REF!),"")</f>
        <v>#REF!</v>
      </c>
      <c r="AB25" s="58" t="str">
        <f>IF(AND('Mapa final'!$Z$28="Alta",'Mapa final'!$AB$28="Mayor"),CONCATENATE("R10C",'Mapa final'!$P$28),"")</f>
        <v/>
      </c>
      <c r="AC25" s="59" t="str">
        <f>IF(AND('Mapa final'!$Z$29="Alta",'Mapa final'!$AB$29="Mayor"),CONCATENATE("R10C",'Mapa final'!$P$29),"")</f>
        <v/>
      </c>
      <c r="AD25" s="59" t="str">
        <f>IF(AND('Mapa final'!$Z$30="Alta",'Mapa final'!$AB$30="Mayor"),CONCATENATE("R10C",'Mapa final'!$P$30),"")</f>
        <v/>
      </c>
      <c r="AE25" s="59" t="e">
        <f>IF(AND('Mapa final'!#REF!="Alta",'Mapa final'!#REF!="Mayor"),CONCATENATE("R10C",'Mapa final'!#REF!),"")</f>
        <v>#REF!</v>
      </c>
      <c r="AF25" s="59" t="e">
        <f>IF(AND('Mapa final'!#REF!="Alta",'Mapa final'!#REF!="Mayor"),CONCATENATE("R10C",'Mapa final'!#REF!),"")</f>
        <v>#REF!</v>
      </c>
      <c r="AG25" s="60" t="e">
        <f>IF(AND('Mapa final'!#REF!="Alta",'Mapa final'!#REF!="Mayor"),CONCATENATE("R10C",'Mapa final'!#REF!),"")</f>
        <v>#REF!</v>
      </c>
      <c r="AH25" s="61" t="str">
        <f>IF(AND('Mapa final'!$Z$28="Alta",'Mapa final'!$AB$28="Catastrófico"),CONCATENATE("R10C",'Mapa final'!$P$28),"")</f>
        <v/>
      </c>
      <c r="AI25" s="62" t="str">
        <f>IF(AND('Mapa final'!$Z$29="Alta",'Mapa final'!$AB$29="Catastrófico"),CONCATENATE("R10C",'Mapa final'!$P$29),"")</f>
        <v/>
      </c>
      <c r="AJ25" s="62" t="str">
        <f>IF(AND('Mapa final'!$Z$30="Alta",'Mapa final'!$AB$30="Catastrófico"),CONCATENATE("R10C",'Mapa final'!$P$30),"")</f>
        <v/>
      </c>
      <c r="AK25" s="62" t="e">
        <f>IF(AND('Mapa final'!#REF!="Alta",'Mapa final'!#REF!="Catastrófico"),CONCATENATE("R10C",'Mapa final'!#REF!),"")</f>
        <v>#REF!</v>
      </c>
      <c r="AL25" s="62" t="e">
        <f>IF(AND('Mapa final'!#REF!="Alta",'Mapa final'!#REF!="Catastrófico"),CONCATENATE("R10C",'Mapa final'!#REF!),"")</f>
        <v>#REF!</v>
      </c>
      <c r="AM25" s="63" t="e">
        <f>IF(AND('Mapa final'!#REF!="Alta",'Mapa final'!#REF!="Catastrófico"),CONCATENATE("R10C",'Mapa final'!#REF!),"")</f>
        <v>#REF!</v>
      </c>
      <c r="AN25" s="83"/>
      <c r="AO25" s="328"/>
      <c r="AP25" s="329"/>
      <c r="AQ25" s="329"/>
      <c r="AR25" s="329"/>
      <c r="AS25" s="329"/>
      <c r="AT25" s="330"/>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236"/>
      <c r="C26" s="236"/>
      <c r="D26" s="237"/>
      <c r="E26" s="331" t="s">
        <v>113</v>
      </c>
      <c r="F26" s="332"/>
      <c r="G26" s="332"/>
      <c r="H26" s="332"/>
      <c r="I26" s="349"/>
      <c r="J26" s="64" t="str">
        <f>IF(AND('Mapa final'!$Z$10="Media",'Mapa final'!$AB$10="Leve"),CONCATENATE("R1C",'Mapa final'!$P$10),"")</f>
        <v/>
      </c>
      <c r="K26" s="65" t="str">
        <f>IF(AND('Mapa final'!$Z$11="Media",'Mapa final'!$AB$11="Leve"),CONCATENATE("R1C",'Mapa final'!$P$11),"")</f>
        <v/>
      </c>
      <c r="L26" s="65" t="str">
        <f>IF(AND('Mapa final'!$Z$12="Media",'Mapa final'!$AB$12="Leve"),CONCATENATE("R1C",'Mapa final'!$P$12),"")</f>
        <v/>
      </c>
      <c r="M26" s="65" t="e">
        <f>IF(AND('Mapa final'!#REF!="Media",'Mapa final'!#REF!="Leve"),CONCATENATE("R1C",'Mapa final'!#REF!),"")</f>
        <v>#REF!</v>
      </c>
      <c r="N26" s="65" t="e">
        <f>IF(AND('Mapa final'!#REF!="Media",'Mapa final'!#REF!="Leve"),CONCATENATE("R1C",'Mapa final'!#REF!),"")</f>
        <v>#REF!</v>
      </c>
      <c r="O26" s="66" t="e">
        <f>IF(AND('Mapa final'!#REF!="Media",'Mapa final'!#REF!="Leve"),CONCATENATE("R1C",'Mapa final'!#REF!),"")</f>
        <v>#REF!</v>
      </c>
      <c r="P26" s="64" t="str">
        <f>IF(AND('Mapa final'!$Z$10="Media",'Mapa final'!$AB$10="Menor"),CONCATENATE("R1C",'Mapa final'!$P$10),"")</f>
        <v/>
      </c>
      <c r="Q26" s="65" t="str">
        <f>IF(AND('Mapa final'!$Z$11="Media",'Mapa final'!$AB$11="Menor"),CONCATENATE("R1C",'Mapa final'!$P$11),"")</f>
        <v/>
      </c>
      <c r="R26" s="65" t="str">
        <f>IF(AND('Mapa final'!$Z$12="Media",'Mapa final'!$AB$12="Menor"),CONCATENATE("R1C",'Mapa final'!$P$12),"")</f>
        <v/>
      </c>
      <c r="S26" s="65" t="e">
        <f>IF(AND('Mapa final'!#REF!="Media",'Mapa final'!#REF!="Menor"),CONCATENATE("R1C",'Mapa final'!#REF!),"")</f>
        <v>#REF!</v>
      </c>
      <c r="T26" s="65" t="e">
        <f>IF(AND('Mapa final'!#REF!="Media",'Mapa final'!#REF!="Menor"),CONCATENATE("R1C",'Mapa final'!#REF!),"")</f>
        <v>#REF!</v>
      </c>
      <c r="U26" s="66" t="e">
        <f>IF(AND('Mapa final'!#REF!="Media",'Mapa final'!#REF!="Menor"),CONCATENATE("R1C",'Mapa final'!#REF!),"")</f>
        <v>#REF!</v>
      </c>
      <c r="V26" s="64" t="str">
        <f>IF(AND('Mapa final'!$Z$10="Media",'Mapa final'!$AB$10="Moderado"),CONCATENATE("R1C",'Mapa final'!$P$10),"")</f>
        <v/>
      </c>
      <c r="W26" s="65" t="str">
        <f>IF(AND('Mapa final'!$Z$11="Media",'Mapa final'!$AB$11="Moderado"),CONCATENATE("R1C",'Mapa final'!$P$11),"")</f>
        <v/>
      </c>
      <c r="X26" s="65" t="str">
        <f>IF(AND('Mapa final'!$Z$12="Media",'Mapa final'!$AB$12="Moderado"),CONCATENATE("R1C",'Mapa final'!$P$12),"")</f>
        <v/>
      </c>
      <c r="Y26" s="65" t="e">
        <f>IF(AND('Mapa final'!#REF!="Media",'Mapa final'!#REF!="Moderado"),CONCATENATE("R1C",'Mapa final'!#REF!),"")</f>
        <v>#REF!</v>
      </c>
      <c r="Z26" s="65" t="e">
        <f>IF(AND('Mapa final'!#REF!="Media",'Mapa final'!#REF!="Moderado"),CONCATENATE("R1C",'Mapa final'!#REF!),"")</f>
        <v>#REF!</v>
      </c>
      <c r="AA26" s="66" t="e">
        <f>IF(AND('Mapa final'!#REF!="Media",'Mapa final'!#REF!="Moderado"),CONCATENATE("R1C",'Mapa final'!#REF!),"")</f>
        <v>#REF!</v>
      </c>
      <c r="AB26" s="46" t="str">
        <f>IF(AND('Mapa final'!$Z$10="Media",'Mapa final'!$AB$10="Mayor"),CONCATENATE("R1C",'Mapa final'!$P$10),"")</f>
        <v/>
      </c>
      <c r="AC26" s="47" t="str">
        <f>IF(AND('Mapa final'!$Z$11="Media",'Mapa final'!$AB$11="Mayor"),CONCATENATE("R1C",'Mapa final'!$P$11),"")</f>
        <v/>
      </c>
      <c r="AD26" s="47" t="str">
        <f>IF(AND('Mapa final'!$Z$12="Media",'Mapa final'!$AB$12="Mayor"),CONCATENATE("R1C",'Mapa final'!$P$12),"")</f>
        <v/>
      </c>
      <c r="AE26" s="47" t="e">
        <f>IF(AND('Mapa final'!#REF!="Media",'Mapa final'!#REF!="Mayor"),CONCATENATE("R1C",'Mapa final'!#REF!),"")</f>
        <v>#REF!</v>
      </c>
      <c r="AF26" s="47" t="e">
        <f>IF(AND('Mapa final'!#REF!="Media",'Mapa final'!#REF!="Mayor"),CONCATENATE("R1C",'Mapa final'!#REF!),"")</f>
        <v>#REF!</v>
      </c>
      <c r="AG26" s="48" t="e">
        <f>IF(AND('Mapa final'!#REF!="Media",'Mapa final'!#REF!="Mayor"),CONCATENATE("R1C",'Mapa final'!#REF!),"")</f>
        <v>#REF!</v>
      </c>
      <c r="AH26" s="49" t="str">
        <f>IF(AND('Mapa final'!$Z$10="Media",'Mapa final'!$AB$10="Catastrófico"),CONCATENATE("R1C",'Mapa final'!$P$10),"")</f>
        <v/>
      </c>
      <c r="AI26" s="50" t="str">
        <f>IF(AND('Mapa final'!$Z$11="Media",'Mapa final'!$AB$11="Catastrófico"),CONCATENATE("R1C",'Mapa final'!$P$11),"")</f>
        <v/>
      </c>
      <c r="AJ26" s="50" t="str">
        <f>IF(AND('Mapa final'!$Z$12="Media",'Mapa final'!$AB$12="Catastrófico"),CONCATENATE("R1C",'Mapa final'!$P$12),"")</f>
        <v/>
      </c>
      <c r="AK26" s="50" t="e">
        <f>IF(AND('Mapa final'!#REF!="Media",'Mapa final'!#REF!="Catastrófico"),CONCATENATE("R1C",'Mapa final'!#REF!),"")</f>
        <v>#REF!</v>
      </c>
      <c r="AL26" s="50" t="e">
        <f>IF(AND('Mapa final'!#REF!="Media",'Mapa final'!#REF!="Catastrófico"),CONCATENATE("R1C",'Mapa final'!#REF!),"")</f>
        <v>#REF!</v>
      </c>
      <c r="AM26" s="51" t="e">
        <f>IF(AND('Mapa final'!#REF!="Media",'Mapa final'!#REF!="Catastrófico"),CONCATENATE("R1C",'Mapa final'!#REF!),"")</f>
        <v>#REF!</v>
      </c>
      <c r="AN26" s="83"/>
      <c r="AO26" s="361" t="s">
        <v>77</v>
      </c>
      <c r="AP26" s="362"/>
      <c r="AQ26" s="362"/>
      <c r="AR26" s="362"/>
      <c r="AS26" s="362"/>
      <c r="AT26" s="36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236"/>
      <c r="C27" s="236"/>
      <c r="D27" s="237"/>
      <c r="E27" s="333"/>
      <c r="F27" s="334"/>
      <c r="G27" s="334"/>
      <c r="H27" s="334"/>
      <c r="I27" s="350"/>
      <c r="J27" s="67" t="str">
        <f>IF(AND('Mapa final'!$Z$13="Media",'Mapa final'!$AB$13="Leve"),CONCATENATE("R2C",'Mapa final'!$P$13),"")</f>
        <v/>
      </c>
      <c r="K27" s="68" t="str">
        <f>IF(AND('Mapa final'!$Z$14="Media",'Mapa final'!$AB$14="Leve"),CONCATENATE("R2C",'Mapa final'!$P$14),"")</f>
        <v/>
      </c>
      <c r="L27" s="68" t="str">
        <f>IF(AND('Mapa final'!$Z$15="Media",'Mapa final'!$AB$15="Leve"),CONCATENATE("R2C",'Mapa final'!$P$15),"")</f>
        <v/>
      </c>
      <c r="M27" s="68" t="e">
        <f>IF(AND('Mapa final'!#REF!="Media",'Mapa final'!#REF!="Leve"),CONCATENATE("R2C",'Mapa final'!#REF!),"")</f>
        <v>#REF!</v>
      </c>
      <c r="N27" s="68" t="e">
        <f>IF(AND('Mapa final'!#REF!="Media",'Mapa final'!#REF!="Leve"),CONCATENATE("R2C",'Mapa final'!#REF!),"")</f>
        <v>#REF!</v>
      </c>
      <c r="O27" s="69" t="e">
        <f>IF(AND('Mapa final'!#REF!="Media",'Mapa final'!#REF!="Leve"),CONCATENATE("R2C",'Mapa final'!#REF!),"")</f>
        <v>#REF!</v>
      </c>
      <c r="P27" s="67" t="str">
        <f>IF(AND('Mapa final'!$Z$13="Media",'Mapa final'!$AB$13="Menor"),CONCATENATE("R2C",'Mapa final'!$P$13),"")</f>
        <v/>
      </c>
      <c r="Q27" s="68" t="str">
        <f>IF(AND('Mapa final'!$Z$14="Media",'Mapa final'!$AB$14="Menor"),CONCATENATE("R2C",'Mapa final'!$P$14),"")</f>
        <v/>
      </c>
      <c r="R27" s="68" t="str">
        <f>IF(AND('Mapa final'!$Z$15="Media",'Mapa final'!$AB$15="Menor"),CONCATENATE("R2C",'Mapa final'!$P$15),"")</f>
        <v/>
      </c>
      <c r="S27" s="68" t="e">
        <f>IF(AND('Mapa final'!#REF!="Media",'Mapa final'!#REF!="Menor"),CONCATENATE("R2C",'Mapa final'!#REF!),"")</f>
        <v>#REF!</v>
      </c>
      <c r="T27" s="68" t="e">
        <f>IF(AND('Mapa final'!#REF!="Media",'Mapa final'!#REF!="Menor"),CONCATENATE("R2C",'Mapa final'!#REF!),"")</f>
        <v>#REF!</v>
      </c>
      <c r="U27" s="69" t="e">
        <f>IF(AND('Mapa final'!#REF!="Media",'Mapa final'!#REF!="Menor"),CONCATENATE("R2C",'Mapa final'!#REF!),"")</f>
        <v>#REF!</v>
      </c>
      <c r="V27" s="67" t="str">
        <f>IF(AND('Mapa final'!$Z$13="Media",'Mapa final'!$AB$13="Moderado"),CONCATENATE("R2C",'Mapa final'!$P$13),"")</f>
        <v/>
      </c>
      <c r="W27" s="68" t="str">
        <f>IF(AND('Mapa final'!$Z$14="Media",'Mapa final'!$AB$14="Moderado"),CONCATENATE("R2C",'Mapa final'!$P$14),"")</f>
        <v/>
      </c>
      <c r="X27" s="68" t="str">
        <f>IF(AND('Mapa final'!$Z$15="Media",'Mapa final'!$AB$15="Moderado"),CONCATENATE("R2C",'Mapa final'!$P$15),"")</f>
        <v/>
      </c>
      <c r="Y27" s="68" t="e">
        <f>IF(AND('Mapa final'!#REF!="Media",'Mapa final'!#REF!="Moderado"),CONCATENATE("R2C",'Mapa final'!#REF!),"")</f>
        <v>#REF!</v>
      </c>
      <c r="Z27" s="68" t="e">
        <f>IF(AND('Mapa final'!#REF!="Media",'Mapa final'!#REF!="Moderado"),CONCATENATE("R2C",'Mapa final'!#REF!),"")</f>
        <v>#REF!</v>
      </c>
      <c r="AA27" s="69" t="e">
        <f>IF(AND('Mapa final'!#REF!="Media",'Mapa final'!#REF!="Moderado"),CONCATENATE("R2C",'Mapa final'!#REF!),"")</f>
        <v>#REF!</v>
      </c>
      <c r="AB27" s="52" t="str">
        <f>IF(AND('Mapa final'!$Z$13="Media",'Mapa final'!$AB$13="Mayor"),CONCATENATE("R2C",'Mapa final'!$P$13),"")</f>
        <v/>
      </c>
      <c r="AC27" s="53" t="str">
        <f>IF(AND('Mapa final'!$Z$14="Media",'Mapa final'!$AB$14="Mayor"),CONCATENATE("R2C",'Mapa final'!$P$14),"")</f>
        <v/>
      </c>
      <c r="AD27" s="53" t="str">
        <f>IF(AND('Mapa final'!$Z$15="Media",'Mapa final'!$AB$15="Mayor"),CONCATENATE("R2C",'Mapa final'!$P$15),"")</f>
        <v/>
      </c>
      <c r="AE27" s="53" t="e">
        <f>IF(AND('Mapa final'!#REF!="Media",'Mapa final'!#REF!="Mayor"),CONCATENATE("R2C",'Mapa final'!#REF!),"")</f>
        <v>#REF!</v>
      </c>
      <c r="AF27" s="53" t="e">
        <f>IF(AND('Mapa final'!#REF!="Media",'Mapa final'!#REF!="Mayor"),CONCATENATE("R2C",'Mapa final'!#REF!),"")</f>
        <v>#REF!</v>
      </c>
      <c r="AG27" s="54" t="e">
        <f>IF(AND('Mapa final'!#REF!="Media",'Mapa final'!#REF!="Mayor"),CONCATENATE("R2C",'Mapa final'!#REF!),"")</f>
        <v>#REF!</v>
      </c>
      <c r="AH27" s="55" t="str">
        <f>IF(AND('Mapa final'!$Z$13="Media",'Mapa final'!$AB$13="Catastrófico"),CONCATENATE("R2C",'Mapa final'!$P$13),"")</f>
        <v/>
      </c>
      <c r="AI27" s="56" t="str">
        <f>IF(AND('Mapa final'!$Z$14="Media",'Mapa final'!$AB$14="Catastrófico"),CONCATENATE("R2C",'Mapa final'!$P$14),"")</f>
        <v/>
      </c>
      <c r="AJ27" s="56" t="str">
        <f>IF(AND('Mapa final'!$Z$15="Media",'Mapa final'!$AB$15="Catastrófico"),CONCATENATE("R2C",'Mapa final'!$P$15),"")</f>
        <v/>
      </c>
      <c r="AK27" s="56" t="e">
        <f>IF(AND('Mapa final'!#REF!="Media",'Mapa final'!#REF!="Catastrófico"),CONCATENATE("R2C",'Mapa final'!#REF!),"")</f>
        <v>#REF!</v>
      </c>
      <c r="AL27" s="56" t="e">
        <f>IF(AND('Mapa final'!#REF!="Media",'Mapa final'!#REF!="Catastrófico"),CONCATENATE("R2C",'Mapa final'!#REF!),"")</f>
        <v>#REF!</v>
      </c>
      <c r="AM27" s="57" t="e">
        <f>IF(AND('Mapa final'!#REF!="Media",'Mapa final'!#REF!="Catastrófico"),CONCATENATE("R2C",'Mapa final'!#REF!),"")</f>
        <v>#REF!</v>
      </c>
      <c r="AN27" s="83"/>
      <c r="AO27" s="364"/>
      <c r="AP27" s="365"/>
      <c r="AQ27" s="365"/>
      <c r="AR27" s="365"/>
      <c r="AS27" s="365"/>
      <c r="AT27" s="366"/>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236"/>
      <c r="C28" s="236"/>
      <c r="D28" s="237"/>
      <c r="E28" s="335"/>
      <c r="F28" s="334"/>
      <c r="G28" s="334"/>
      <c r="H28" s="334"/>
      <c r="I28" s="350"/>
      <c r="J28" s="67" t="str">
        <f>IF(AND('Mapa final'!$Z$16="Media",'Mapa final'!$AB$16="Leve"),CONCATENATE("R3C",'Mapa final'!$P$16),"")</f>
        <v/>
      </c>
      <c r="K28" s="68" t="str">
        <f>IF(AND('Mapa final'!$Z$17="Media",'Mapa final'!$AB$17="Leve"),CONCATENATE("R3C",'Mapa final'!$P$17),"")</f>
        <v/>
      </c>
      <c r="L28" s="68" t="str">
        <f>IF(AND('Mapa final'!$Z$18="Media",'Mapa final'!$AB$18="Leve"),CONCATENATE("R3C",'Mapa final'!$P$18),"")</f>
        <v/>
      </c>
      <c r="M28" s="68" t="e">
        <f>IF(AND('Mapa final'!#REF!="Media",'Mapa final'!#REF!="Leve"),CONCATENATE("R3C",'Mapa final'!#REF!),"")</f>
        <v>#REF!</v>
      </c>
      <c r="N28" s="68" t="e">
        <f>IF(AND('Mapa final'!#REF!="Media",'Mapa final'!#REF!="Leve"),CONCATENATE("R3C",'Mapa final'!#REF!),"")</f>
        <v>#REF!</v>
      </c>
      <c r="O28" s="69" t="e">
        <f>IF(AND('Mapa final'!#REF!="Media",'Mapa final'!#REF!="Leve"),CONCATENATE("R3C",'Mapa final'!#REF!),"")</f>
        <v>#REF!</v>
      </c>
      <c r="P28" s="67" t="str">
        <f>IF(AND('Mapa final'!$Z$16="Media",'Mapa final'!$AB$16="Menor"),CONCATENATE("R3C",'Mapa final'!$P$16),"")</f>
        <v/>
      </c>
      <c r="Q28" s="68" t="str">
        <f>IF(AND('Mapa final'!$Z$17="Media",'Mapa final'!$AB$17="Menor"),CONCATENATE("R3C",'Mapa final'!$P$17),"")</f>
        <v/>
      </c>
      <c r="R28" s="68" t="str">
        <f>IF(AND('Mapa final'!$Z$18="Media",'Mapa final'!$AB$18="Menor"),CONCATENATE("R3C",'Mapa final'!$P$18),"")</f>
        <v/>
      </c>
      <c r="S28" s="68" t="e">
        <f>IF(AND('Mapa final'!#REF!="Media",'Mapa final'!#REF!="Menor"),CONCATENATE("R3C",'Mapa final'!#REF!),"")</f>
        <v>#REF!</v>
      </c>
      <c r="T28" s="68" t="e">
        <f>IF(AND('Mapa final'!#REF!="Media",'Mapa final'!#REF!="Menor"),CONCATENATE("R3C",'Mapa final'!#REF!),"")</f>
        <v>#REF!</v>
      </c>
      <c r="U28" s="69" t="e">
        <f>IF(AND('Mapa final'!#REF!="Media",'Mapa final'!#REF!="Menor"),CONCATENATE("R3C",'Mapa final'!#REF!),"")</f>
        <v>#REF!</v>
      </c>
      <c r="V28" s="67" t="str">
        <f>IF(AND('Mapa final'!$Z$16="Media",'Mapa final'!$AB$16="Moderado"),CONCATENATE("R3C",'Mapa final'!$P$16),"")</f>
        <v/>
      </c>
      <c r="W28" s="68" t="str">
        <f>IF(AND('Mapa final'!$Z$17="Media",'Mapa final'!$AB$17="Moderado"),CONCATENATE("R3C",'Mapa final'!$P$17),"")</f>
        <v/>
      </c>
      <c r="X28" s="68" t="str">
        <f>IF(AND('Mapa final'!$Z$18="Media",'Mapa final'!$AB$18="Moderado"),CONCATENATE("R3C",'Mapa final'!$P$18),"")</f>
        <v/>
      </c>
      <c r="Y28" s="68" t="e">
        <f>IF(AND('Mapa final'!#REF!="Media",'Mapa final'!#REF!="Moderado"),CONCATENATE("R3C",'Mapa final'!#REF!),"")</f>
        <v>#REF!</v>
      </c>
      <c r="Z28" s="68" t="e">
        <f>IF(AND('Mapa final'!#REF!="Media",'Mapa final'!#REF!="Moderado"),CONCATENATE("R3C",'Mapa final'!#REF!),"")</f>
        <v>#REF!</v>
      </c>
      <c r="AA28" s="69" t="e">
        <f>IF(AND('Mapa final'!#REF!="Media",'Mapa final'!#REF!="Moderado"),CONCATENATE("R3C",'Mapa final'!#REF!),"")</f>
        <v>#REF!</v>
      </c>
      <c r="AB28" s="52" t="str">
        <f>IF(AND('Mapa final'!$Z$16="Media",'Mapa final'!$AB$16="Mayor"),CONCATENATE("R3C",'Mapa final'!$P$16),"")</f>
        <v/>
      </c>
      <c r="AC28" s="53" t="str">
        <f>IF(AND('Mapa final'!$Z$17="Media",'Mapa final'!$AB$17="Mayor"),CONCATENATE("R3C",'Mapa final'!$P$17),"")</f>
        <v/>
      </c>
      <c r="AD28" s="53" t="str">
        <f>IF(AND('Mapa final'!$Z$18="Media",'Mapa final'!$AB$18="Mayor"),CONCATENATE("R3C",'Mapa final'!$P$18),"")</f>
        <v/>
      </c>
      <c r="AE28" s="53" t="e">
        <f>IF(AND('Mapa final'!#REF!="Media",'Mapa final'!#REF!="Mayor"),CONCATENATE("R3C",'Mapa final'!#REF!),"")</f>
        <v>#REF!</v>
      </c>
      <c r="AF28" s="53" t="e">
        <f>IF(AND('Mapa final'!#REF!="Media",'Mapa final'!#REF!="Mayor"),CONCATENATE("R3C",'Mapa final'!#REF!),"")</f>
        <v>#REF!</v>
      </c>
      <c r="AG28" s="54" t="e">
        <f>IF(AND('Mapa final'!#REF!="Media",'Mapa final'!#REF!="Mayor"),CONCATENATE("R3C",'Mapa final'!#REF!),"")</f>
        <v>#REF!</v>
      </c>
      <c r="AH28" s="55" t="str">
        <f>IF(AND('Mapa final'!$Z$16="Media",'Mapa final'!$AB$16="Catastrófico"),CONCATENATE("R3C",'Mapa final'!$P$16),"")</f>
        <v/>
      </c>
      <c r="AI28" s="56" t="str">
        <f>IF(AND('Mapa final'!$Z$17="Media",'Mapa final'!$AB$17="Catastrófico"),CONCATENATE("R3C",'Mapa final'!$P$17),"")</f>
        <v/>
      </c>
      <c r="AJ28" s="56" t="str">
        <f>IF(AND('Mapa final'!$Z$18="Media",'Mapa final'!$AB$18="Catastrófico"),CONCATENATE("R3C",'Mapa final'!$P$18),"")</f>
        <v/>
      </c>
      <c r="AK28" s="56" t="e">
        <f>IF(AND('Mapa final'!#REF!="Media",'Mapa final'!#REF!="Catastrófico"),CONCATENATE("R3C",'Mapa final'!#REF!),"")</f>
        <v>#REF!</v>
      </c>
      <c r="AL28" s="56" t="e">
        <f>IF(AND('Mapa final'!#REF!="Media",'Mapa final'!#REF!="Catastrófico"),CONCATENATE("R3C",'Mapa final'!#REF!),"")</f>
        <v>#REF!</v>
      </c>
      <c r="AM28" s="57" t="e">
        <f>IF(AND('Mapa final'!#REF!="Media",'Mapa final'!#REF!="Catastrófico"),CONCATENATE("R3C",'Mapa final'!#REF!),"")</f>
        <v>#REF!</v>
      </c>
      <c r="AN28" s="83"/>
      <c r="AO28" s="364"/>
      <c r="AP28" s="365"/>
      <c r="AQ28" s="365"/>
      <c r="AR28" s="365"/>
      <c r="AS28" s="365"/>
      <c r="AT28" s="366"/>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236"/>
      <c r="C29" s="236"/>
      <c r="D29" s="237"/>
      <c r="E29" s="335"/>
      <c r="F29" s="334"/>
      <c r="G29" s="334"/>
      <c r="H29" s="334"/>
      <c r="I29" s="350"/>
      <c r="J29" s="67" t="str">
        <f>IF(AND('Mapa final'!$Z$19="Media",'Mapa final'!$AB$19="Leve"),CONCATENATE("R4C",'Mapa final'!$P$19),"")</f>
        <v/>
      </c>
      <c r="K29" s="68" t="str">
        <f>IF(AND('Mapa final'!$Z$20="Media",'Mapa final'!$AB$20="Leve"),CONCATENATE("R4C",'Mapa final'!$P$20),"")</f>
        <v/>
      </c>
      <c r="L29" s="68" t="str">
        <f>IF(AND('Mapa final'!$Z$21="Media",'Mapa final'!$AB$21="Leve"),CONCATENATE("R4C",'Mapa final'!$P$21),"")</f>
        <v/>
      </c>
      <c r="M29" s="68" t="e">
        <f>IF(AND('Mapa final'!#REF!="Media",'Mapa final'!#REF!="Leve"),CONCATENATE("R4C",'Mapa final'!#REF!),"")</f>
        <v>#REF!</v>
      </c>
      <c r="N29" s="68" t="e">
        <f>IF(AND('Mapa final'!#REF!="Media",'Mapa final'!#REF!="Leve"),CONCATENATE("R4C",'Mapa final'!#REF!),"")</f>
        <v>#REF!</v>
      </c>
      <c r="O29" s="69" t="e">
        <f>IF(AND('Mapa final'!#REF!="Media",'Mapa final'!#REF!="Leve"),CONCATENATE("R4C",'Mapa final'!#REF!),"")</f>
        <v>#REF!</v>
      </c>
      <c r="P29" s="67" t="str">
        <f>IF(AND('Mapa final'!$Z$19="Media",'Mapa final'!$AB$19="Menor"),CONCATENATE("R4C",'Mapa final'!$P$19),"")</f>
        <v/>
      </c>
      <c r="Q29" s="68" t="str">
        <f>IF(AND('Mapa final'!$Z$20="Media",'Mapa final'!$AB$20="Menor"),CONCATENATE("R4C",'Mapa final'!$P$20),"")</f>
        <v/>
      </c>
      <c r="R29" s="68" t="str">
        <f>IF(AND('Mapa final'!$Z$21="Media",'Mapa final'!$AB$21="Menor"),CONCATENATE("R4C",'Mapa final'!$P$21),"")</f>
        <v/>
      </c>
      <c r="S29" s="68" t="e">
        <f>IF(AND('Mapa final'!#REF!="Media",'Mapa final'!#REF!="Menor"),CONCATENATE("R4C",'Mapa final'!#REF!),"")</f>
        <v>#REF!</v>
      </c>
      <c r="T29" s="68" t="e">
        <f>IF(AND('Mapa final'!#REF!="Media",'Mapa final'!#REF!="Menor"),CONCATENATE("R4C",'Mapa final'!#REF!),"")</f>
        <v>#REF!</v>
      </c>
      <c r="U29" s="69" t="e">
        <f>IF(AND('Mapa final'!#REF!="Media",'Mapa final'!#REF!="Menor"),CONCATENATE("R4C",'Mapa final'!#REF!),"")</f>
        <v>#REF!</v>
      </c>
      <c r="V29" s="67" t="str">
        <f>IF(AND('Mapa final'!$Z$19="Media",'Mapa final'!$AB$19="Moderado"),CONCATENATE("R4C",'Mapa final'!$P$19),"")</f>
        <v/>
      </c>
      <c r="W29" s="68" t="str">
        <f>IF(AND('Mapa final'!$Z$20="Media",'Mapa final'!$AB$20="Moderado"),CONCATENATE("R4C",'Mapa final'!$P$20),"")</f>
        <v/>
      </c>
      <c r="X29" s="68" t="str">
        <f>IF(AND('Mapa final'!$Z$21="Media",'Mapa final'!$AB$21="Moderado"),CONCATENATE("R4C",'Mapa final'!$P$21),"")</f>
        <v/>
      </c>
      <c r="Y29" s="68" t="e">
        <f>IF(AND('Mapa final'!#REF!="Media",'Mapa final'!#REF!="Moderado"),CONCATENATE("R4C",'Mapa final'!#REF!),"")</f>
        <v>#REF!</v>
      </c>
      <c r="Z29" s="68" t="e">
        <f>IF(AND('Mapa final'!#REF!="Media",'Mapa final'!#REF!="Moderado"),CONCATENATE("R4C",'Mapa final'!#REF!),"")</f>
        <v>#REF!</v>
      </c>
      <c r="AA29" s="69" t="e">
        <f>IF(AND('Mapa final'!#REF!="Media",'Mapa final'!#REF!="Moderado"),CONCATENATE("R4C",'Mapa final'!#REF!),"")</f>
        <v>#REF!</v>
      </c>
      <c r="AB29" s="52" t="str">
        <f>IF(AND('Mapa final'!$Z$19="Media",'Mapa final'!$AB$19="Mayor"),CONCATENATE("R4C",'Mapa final'!$P$19),"")</f>
        <v/>
      </c>
      <c r="AC29" s="53" t="str">
        <f>IF(AND('Mapa final'!$Z$20="Media",'Mapa final'!$AB$20="Mayor"),CONCATENATE("R4C",'Mapa final'!$P$20),"")</f>
        <v/>
      </c>
      <c r="AD29" s="53" t="str">
        <f>IF(AND('Mapa final'!$Z$21="Media",'Mapa final'!$AB$21="Mayor"),CONCATENATE("R4C",'Mapa final'!$P$21),"")</f>
        <v/>
      </c>
      <c r="AE29" s="53" t="e">
        <f>IF(AND('Mapa final'!#REF!="Media",'Mapa final'!#REF!="Mayor"),CONCATENATE("R4C",'Mapa final'!#REF!),"")</f>
        <v>#REF!</v>
      </c>
      <c r="AF29" s="53" t="e">
        <f>IF(AND('Mapa final'!#REF!="Media",'Mapa final'!#REF!="Mayor"),CONCATENATE("R4C",'Mapa final'!#REF!),"")</f>
        <v>#REF!</v>
      </c>
      <c r="AG29" s="54" t="e">
        <f>IF(AND('Mapa final'!#REF!="Media",'Mapa final'!#REF!="Mayor"),CONCATENATE("R4C",'Mapa final'!#REF!),"")</f>
        <v>#REF!</v>
      </c>
      <c r="AH29" s="55" t="str">
        <f>IF(AND('Mapa final'!$Z$19="Media",'Mapa final'!$AB$19="Catastrófico"),CONCATENATE("R4C",'Mapa final'!$P$19),"")</f>
        <v/>
      </c>
      <c r="AI29" s="56" t="str">
        <f>IF(AND('Mapa final'!$Z$20="Media",'Mapa final'!$AB$20="Catastrófico"),CONCATENATE("R4C",'Mapa final'!$P$20),"")</f>
        <v/>
      </c>
      <c r="AJ29" s="56" t="str">
        <f>IF(AND('Mapa final'!$Z$21="Media",'Mapa final'!$AB$21="Catastrófico"),CONCATENATE("R4C",'Mapa final'!$P$21),"")</f>
        <v/>
      </c>
      <c r="AK29" s="56" t="e">
        <f>IF(AND('Mapa final'!#REF!="Media",'Mapa final'!#REF!="Catastrófico"),CONCATENATE("R4C",'Mapa final'!#REF!),"")</f>
        <v>#REF!</v>
      </c>
      <c r="AL29" s="56" t="e">
        <f>IF(AND('Mapa final'!#REF!="Media",'Mapa final'!#REF!="Catastrófico"),CONCATENATE("R4C",'Mapa final'!#REF!),"")</f>
        <v>#REF!</v>
      </c>
      <c r="AM29" s="57" t="e">
        <f>IF(AND('Mapa final'!#REF!="Media",'Mapa final'!#REF!="Catastrófico"),CONCATENATE("R4C",'Mapa final'!#REF!),"")</f>
        <v>#REF!</v>
      </c>
      <c r="AN29" s="83"/>
      <c r="AO29" s="364"/>
      <c r="AP29" s="365"/>
      <c r="AQ29" s="365"/>
      <c r="AR29" s="365"/>
      <c r="AS29" s="365"/>
      <c r="AT29" s="366"/>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236"/>
      <c r="C30" s="236"/>
      <c r="D30" s="237"/>
      <c r="E30" s="335"/>
      <c r="F30" s="334"/>
      <c r="G30" s="334"/>
      <c r="H30" s="334"/>
      <c r="I30" s="350"/>
      <c r="J30" s="67" t="e">
        <f>IF(AND('Mapa final'!#REF!="Media",'Mapa final'!#REF!="Leve"),CONCATENATE("R5C",'Mapa final'!#REF!),"")</f>
        <v>#REF!</v>
      </c>
      <c r="K30" s="68" t="e">
        <f>IF(AND('Mapa final'!#REF!="Media",'Mapa final'!#REF!="Leve"),CONCATENATE("R5C",'Mapa final'!#REF!),"")</f>
        <v>#REF!</v>
      </c>
      <c r="L30" s="68" t="e">
        <f>IF(AND('Mapa final'!#REF!="Media",'Mapa final'!#REF!="Leve"),CONCATENATE("R5C",'Mapa final'!#REF!),"")</f>
        <v>#REF!</v>
      </c>
      <c r="M30" s="68" t="e">
        <f>IF(AND('Mapa final'!#REF!="Media",'Mapa final'!#REF!="Leve"),CONCATENATE("R5C",'Mapa final'!#REF!),"")</f>
        <v>#REF!</v>
      </c>
      <c r="N30" s="68" t="e">
        <f>IF(AND('Mapa final'!#REF!="Media",'Mapa final'!#REF!="Leve"),CONCATENATE("R5C",'Mapa final'!#REF!),"")</f>
        <v>#REF!</v>
      </c>
      <c r="O30" s="69" t="e">
        <f>IF(AND('Mapa final'!#REF!="Media",'Mapa final'!#REF!="Leve"),CONCATENATE("R5C",'Mapa final'!#REF!),"")</f>
        <v>#REF!</v>
      </c>
      <c r="P30" s="67" t="e">
        <f>IF(AND('Mapa final'!#REF!="Media",'Mapa final'!#REF!="Menor"),CONCATENATE("R5C",'Mapa final'!#REF!),"")</f>
        <v>#REF!</v>
      </c>
      <c r="Q30" s="68" t="e">
        <f>IF(AND('Mapa final'!#REF!="Media",'Mapa final'!#REF!="Menor"),CONCATENATE("R5C",'Mapa final'!#REF!),"")</f>
        <v>#REF!</v>
      </c>
      <c r="R30" s="68" t="e">
        <f>IF(AND('Mapa final'!#REF!="Media",'Mapa final'!#REF!="Menor"),CONCATENATE("R5C",'Mapa final'!#REF!),"")</f>
        <v>#REF!</v>
      </c>
      <c r="S30" s="68" t="e">
        <f>IF(AND('Mapa final'!#REF!="Media",'Mapa final'!#REF!="Menor"),CONCATENATE("R5C",'Mapa final'!#REF!),"")</f>
        <v>#REF!</v>
      </c>
      <c r="T30" s="68" t="e">
        <f>IF(AND('Mapa final'!#REF!="Media",'Mapa final'!#REF!="Menor"),CONCATENATE("R5C",'Mapa final'!#REF!),"")</f>
        <v>#REF!</v>
      </c>
      <c r="U30" s="69" t="e">
        <f>IF(AND('Mapa final'!#REF!="Media",'Mapa final'!#REF!="Menor"),CONCATENATE("R5C",'Mapa final'!#REF!),"")</f>
        <v>#REF!</v>
      </c>
      <c r="V30" s="67" t="e">
        <f>IF(AND('Mapa final'!#REF!="Media",'Mapa final'!#REF!="Moderado"),CONCATENATE("R5C",'Mapa final'!#REF!),"")</f>
        <v>#REF!</v>
      </c>
      <c r="W30" s="68" t="e">
        <f>IF(AND('Mapa final'!#REF!="Media",'Mapa final'!#REF!="Moderado"),CONCATENATE("R5C",'Mapa final'!#REF!),"")</f>
        <v>#REF!</v>
      </c>
      <c r="X30" s="68" t="e">
        <f>IF(AND('Mapa final'!#REF!="Media",'Mapa final'!#REF!="Moderado"),CONCATENATE("R5C",'Mapa final'!#REF!),"")</f>
        <v>#REF!</v>
      </c>
      <c r="Y30" s="68" t="e">
        <f>IF(AND('Mapa final'!#REF!="Media",'Mapa final'!#REF!="Moderado"),CONCATENATE("R5C",'Mapa final'!#REF!),"")</f>
        <v>#REF!</v>
      </c>
      <c r="Z30" s="68" t="e">
        <f>IF(AND('Mapa final'!#REF!="Media",'Mapa final'!#REF!="Moderado"),CONCATENATE("R5C",'Mapa final'!#REF!),"")</f>
        <v>#REF!</v>
      </c>
      <c r="AA30" s="69" t="e">
        <f>IF(AND('Mapa final'!#REF!="Media",'Mapa final'!#REF!="Moderado"),CONCATENATE("R5C",'Mapa final'!#REF!),"")</f>
        <v>#REF!</v>
      </c>
      <c r="AB30" s="52" t="e">
        <f>IF(AND('Mapa final'!#REF!="Media",'Mapa final'!#REF!="Mayor"),CONCATENATE("R5C",'Mapa final'!#REF!),"")</f>
        <v>#REF!</v>
      </c>
      <c r="AC30" s="53" t="e">
        <f>IF(AND('Mapa final'!#REF!="Media",'Mapa final'!#REF!="Mayor"),CONCATENATE("R5C",'Mapa final'!#REF!),"")</f>
        <v>#REF!</v>
      </c>
      <c r="AD30" s="53" t="e">
        <f>IF(AND('Mapa final'!#REF!="Media",'Mapa final'!#REF!="Mayor"),CONCATENATE("R5C",'Mapa final'!#REF!),"")</f>
        <v>#REF!</v>
      </c>
      <c r="AE30" s="53" t="e">
        <f>IF(AND('Mapa final'!#REF!="Media",'Mapa final'!#REF!="Mayor"),CONCATENATE("R5C",'Mapa final'!#REF!),"")</f>
        <v>#REF!</v>
      </c>
      <c r="AF30" s="53" t="e">
        <f>IF(AND('Mapa final'!#REF!="Media",'Mapa final'!#REF!="Mayor"),CONCATENATE("R5C",'Mapa final'!#REF!),"")</f>
        <v>#REF!</v>
      </c>
      <c r="AG30" s="54" t="e">
        <f>IF(AND('Mapa final'!#REF!="Media",'Mapa final'!#REF!="Mayor"),CONCATENATE("R5C",'Mapa final'!#REF!),"")</f>
        <v>#REF!</v>
      </c>
      <c r="AH30" s="55" t="e">
        <f>IF(AND('Mapa final'!#REF!="Media",'Mapa final'!#REF!="Catastrófico"),CONCATENATE("R5C",'Mapa final'!#REF!),"")</f>
        <v>#REF!</v>
      </c>
      <c r="AI30" s="56" t="e">
        <f>IF(AND('Mapa final'!#REF!="Media",'Mapa final'!#REF!="Catastrófico"),CONCATENATE("R5C",'Mapa final'!#REF!),"")</f>
        <v>#REF!</v>
      </c>
      <c r="AJ30" s="56" t="e">
        <f>IF(AND('Mapa final'!#REF!="Media",'Mapa final'!#REF!="Catastrófico"),CONCATENATE("R5C",'Mapa final'!#REF!),"")</f>
        <v>#REF!</v>
      </c>
      <c r="AK30" s="56" t="e">
        <f>IF(AND('Mapa final'!#REF!="Media",'Mapa final'!#REF!="Catastrófico"),CONCATENATE("R5C",'Mapa final'!#REF!),"")</f>
        <v>#REF!</v>
      </c>
      <c r="AL30" s="56" t="e">
        <f>IF(AND('Mapa final'!#REF!="Media",'Mapa final'!#REF!="Catastrófico"),CONCATENATE("R5C",'Mapa final'!#REF!),"")</f>
        <v>#REF!</v>
      </c>
      <c r="AM30" s="57" t="e">
        <f>IF(AND('Mapa final'!#REF!="Media",'Mapa final'!#REF!="Catastrófico"),CONCATENATE("R5C",'Mapa final'!#REF!),"")</f>
        <v>#REF!</v>
      </c>
      <c r="AN30" s="83"/>
      <c r="AO30" s="364"/>
      <c r="AP30" s="365"/>
      <c r="AQ30" s="365"/>
      <c r="AR30" s="365"/>
      <c r="AS30" s="365"/>
      <c r="AT30" s="366"/>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236"/>
      <c r="C31" s="236"/>
      <c r="D31" s="237"/>
      <c r="E31" s="335"/>
      <c r="F31" s="334"/>
      <c r="G31" s="334"/>
      <c r="H31" s="334"/>
      <c r="I31" s="350"/>
      <c r="J31" s="67" t="str">
        <f>IF(AND('Mapa final'!$Z$22="Media",'Mapa final'!$AB$22="Leve"),CONCATENATE("R6C",'Mapa final'!$P$22),"")</f>
        <v/>
      </c>
      <c r="K31" s="68" t="str">
        <f>IF(AND('Mapa final'!$Z$23="Media",'Mapa final'!$AB$23="Leve"),CONCATENATE("R6C",'Mapa final'!$P$23),"")</f>
        <v/>
      </c>
      <c r="L31" s="68" t="str">
        <f>IF(AND('Mapa final'!$Z$24="Media",'Mapa final'!$AB$24="Leve"),CONCATENATE("R6C",'Mapa final'!$P$24),"")</f>
        <v/>
      </c>
      <c r="M31" s="68" t="e">
        <f>IF(AND('Mapa final'!#REF!="Media",'Mapa final'!#REF!="Leve"),CONCATENATE("R6C",'Mapa final'!#REF!),"")</f>
        <v>#REF!</v>
      </c>
      <c r="N31" s="68" t="e">
        <f>IF(AND('Mapa final'!#REF!="Media",'Mapa final'!#REF!="Leve"),CONCATENATE("R6C",'Mapa final'!#REF!),"")</f>
        <v>#REF!</v>
      </c>
      <c r="O31" s="69" t="e">
        <f>IF(AND('Mapa final'!#REF!="Media",'Mapa final'!#REF!="Leve"),CONCATENATE("R6C",'Mapa final'!#REF!),"")</f>
        <v>#REF!</v>
      </c>
      <c r="P31" s="67" t="str">
        <f>IF(AND('Mapa final'!$Z$22="Media",'Mapa final'!$AB$22="Menor"),CONCATENATE("R6C",'Mapa final'!$P$22),"")</f>
        <v/>
      </c>
      <c r="Q31" s="68" t="str">
        <f>IF(AND('Mapa final'!$Z$23="Media",'Mapa final'!$AB$23="Menor"),CONCATENATE("R6C",'Mapa final'!$P$23),"")</f>
        <v/>
      </c>
      <c r="R31" s="68" t="str">
        <f>IF(AND('Mapa final'!$Z$24="Media",'Mapa final'!$AB$24="Menor"),CONCATENATE("R6C",'Mapa final'!$P$24),"")</f>
        <v/>
      </c>
      <c r="S31" s="68" t="e">
        <f>IF(AND('Mapa final'!#REF!="Media",'Mapa final'!#REF!="Menor"),CONCATENATE("R6C",'Mapa final'!#REF!),"")</f>
        <v>#REF!</v>
      </c>
      <c r="T31" s="68" t="e">
        <f>IF(AND('Mapa final'!#REF!="Media",'Mapa final'!#REF!="Menor"),CONCATENATE("R6C",'Mapa final'!#REF!),"")</f>
        <v>#REF!</v>
      </c>
      <c r="U31" s="69" t="e">
        <f>IF(AND('Mapa final'!#REF!="Media",'Mapa final'!#REF!="Menor"),CONCATENATE("R6C",'Mapa final'!#REF!),"")</f>
        <v>#REF!</v>
      </c>
      <c r="V31" s="67" t="str">
        <f>IF(AND('Mapa final'!$Z$22="Media",'Mapa final'!$AB$22="Moderado"),CONCATENATE("R6C",'Mapa final'!$P$22),"")</f>
        <v/>
      </c>
      <c r="W31" s="68" t="str">
        <f>IF(AND('Mapa final'!$Z$23="Media",'Mapa final'!$AB$23="Moderado"),CONCATENATE("R6C",'Mapa final'!$P$23),"")</f>
        <v/>
      </c>
      <c r="X31" s="68" t="str">
        <f>IF(AND('Mapa final'!$Z$24="Media",'Mapa final'!$AB$24="Moderado"),CONCATENATE("R6C",'Mapa final'!$P$24),"")</f>
        <v/>
      </c>
      <c r="Y31" s="68" t="e">
        <f>IF(AND('Mapa final'!#REF!="Media",'Mapa final'!#REF!="Moderado"),CONCATENATE("R6C",'Mapa final'!#REF!),"")</f>
        <v>#REF!</v>
      </c>
      <c r="Z31" s="68" t="e">
        <f>IF(AND('Mapa final'!#REF!="Media",'Mapa final'!#REF!="Moderado"),CONCATENATE("R6C",'Mapa final'!#REF!),"")</f>
        <v>#REF!</v>
      </c>
      <c r="AA31" s="69" t="e">
        <f>IF(AND('Mapa final'!#REF!="Media",'Mapa final'!#REF!="Moderado"),CONCATENATE("R6C",'Mapa final'!#REF!),"")</f>
        <v>#REF!</v>
      </c>
      <c r="AB31" s="52" t="str">
        <f>IF(AND('Mapa final'!$Z$22="Media",'Mapa final'!$AB$22="Mayor"),CONCATENATE("R6C",'Mapa final'!$P$22),"")</f>
        <v/>
      </c>
      <c r="AC31" s="53" t="str">
        <f>IF(AND('Mapa final'!$Z$23="Media",'Mapa final'!$AB$23="Mayor"),CONCATENATE("R6C",'Mapa final'!$P$23),"")</f>
        <v/>
      </c>
      <c r="AD31" s="53" t="str">
        <f>IF(AND('Mapa final'!$Z$24="Media",'Mapa final'!$AB$24="Mayor"),CONCATENATE("R6C",'Mapa final'!$P$24),"")</f>
        <v/>
      </c>
      <c r="AE31" s="53" t="e">
        <f>IF(AND('Mapa final'!#REF!="Media",'Mapa final'!#REF!="Mayor"),CONCATENATE("R6C",'Mapa final'!#REF!),"")</f>
        <v>#REF!</v>
      </c>
      <c r="AF31" s="53" t="e">
        <f>IF(AND('Mapa final'!#REF!="Media",'Mapa final'!#REF!="Mayor"),CONCATENATE("R6C",'Mapa final'!#REF!),"")</f>
        <v>#REF!</v>
      </c>
      <c r="AG31" s="54" t="e">
        <f>IF(AND('Mapa final'!#REF!="Media",'Mapa final'!#REF!="Mayor"),CONCATENATE("R6C",'Mapa final'!#REF!),"")</f>
        <v>#REF!</v>
      </c>
      <c r="AH31" s="55" t="str">
        <f>IF(AND('Mapa final'!$Z$22="Media",'Mapa final'!$AB$22="Catastrófico"),CONCATENATE("R6C",'Mapa final'!$P$22),"")</f>
        <v/>
      </c>
      <c r="AI31" s="56" t="str">
        <f>IF(AND('Mapa final'!$Z$23="Media",'Mapa final'!$AB$23="Catastrófico"),CONCATENATE("R6C",'Mapa final'!$P$23),"")</f>
        <v/>
      </c>
      <c r="AJ31" s="56" t="str">
        <f>IF(AND('Mapa final'!$Z$24="Media",'Mapa final'!$AB$24="Catastrófico"),CONCATENATE("R6C",'Mapa final'!$P$24),"")</f>
        <v/>
      </c>
      <c r="AK31" s="56" t="e">
        <f>IF(AND('Mapa final'!#REF!="Media",'Mapa final'!#REF!="Catastrófico"),CONCATENATE("R6C",'Mapa final'!#REF!),"")</f>
        <v>#REF!</v>
      </c>
      <c r="AL31" s="56" t="e">
        <f>IF(AND('Mapa final'!#REF!="Media",'Mapa final'!#REF!="Catastrófico"),CONCATENATE("R6C",'Mapa final'!#REF!),"")</f>
        <v>#REF!</v>
      </c>
      <c r="AM31" s="57" t="e">
        <f>IF(AND('Mapa final'!#REF!="Media",'Mapa final'!#REF!="Catastrófico"),CONCATENATE("R6C",'Mapa final'!#REF!),"")</f>
        <v>#REF!</v>
      </c>
      <c r="AN31" s="83"/>
      <c r="AO31" s="364"/>
      <c r="AP31" s="365"/>
      <c r="AQ31" s="365"/>
      <c r="AR31" s="365"/>
      <c r="AS31" s="365"/>
      <c r="AT31" s="366"/>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236"/>
      <c r="C32" s="236"/>
      <c r="D32" s="237"/>
      <c r="E32" s="335"/>
      <c r="F32" s="334"/>
      <c r="G32" s="334"/>
      <c r="H32" s="334"/>
      <c r="I32" s="350"/>
      <c r="J32" s="67" t="e">
        <f>IF(AND('Mapa final'!#REF!="Media",'Mapa final'!#REF!="Leve"),CONCATENATE("R7C",'Mapa final'!#REF!),"")</f>
        <v>#REF!</v>
      </c>
      <c r="K32" s="68" t="e">
        <f>IF(AND('Mapa final'!#REF!="Media",'Mapa final'!#REF!="Leve"),CONCATENATE("R7C",'Mapa final'!#REF!),"")</f>
        <v>#REF!</v>
      </c>
      <c r="L32" s="68" t="e">
        <f>IF(AND('Mapa final'!#REF!="Media",'Mapa final'!#REF!="Leve"),CONCATENATE("R7C",'Mapa final'!#REF!),"")</f>
        <v>#REF!</v>
      </c>
      <c r="M32" s="68" t="e">
        <f>IF(AND('Mapa final'!#REF!="Media",'Mapa final'!#REF!="Leve"),CONCATENATE("R7C",'Mapa final'!#REF!),"")</f>
        <v>#REF!</v>
      </c>
      <c r="N32" s="68" t="e">
        <f>IF(AND('Mapa final'!#REF!="Media",'Mapa final'!#REF!="Leve"),CONCATENATE("R7C",'Mapa final'!#REF!),"")</f>
        <v>#REF!</v>
      </c>
      <c r="O32" s="69" t="e">
        <f>IF(AND('Mapa final'!#REF!="Media",'Mapa final'!#REF!="Leve"),CONCATENATE("R7C",'Mapa final'!#REF!),"")</f>
        <v>#REF!</v>
      </c>
      <c r="P32" s="67" t="e">
        <f>IF(AND('Mapa final'!#REF!="Media",'Mapa final'!#REF!="Menor"),CONCATENATE("R7C",'Mapa final'!#REF!),"")</f>
        <v>#REF!</v>
      </c>
      <c r="Q32" s="68" t="e">
        <f>IF(AND('Mapa final'!#REF!="Media",'Mapa final'!#REF!="Menor"),CONCATENATE("R7C",'Mapa final'!#REF!),"")</f>
        <v>#REF!</v>
      </c>
      <c r="R32" s="68" t="e">
        <f>IF(AND('Mapa final'!#REF!="Media",'Mapa final'!#REF!="Menor"),CONCATENATE("R7C",'Mapa final'!#REF!),"")</f>
        <v>#REF!</v>
      </c>
      <c r="S32" s="68" t="e">
        <f>IF(AND('Mapa final'!#REF!="Media",'Mapa final'!#REF!="Menor"),CONCATENATE("R7C",'Mapa final'!#REF!),"")</f>
        <v>#REF!</v>
      </c>
      <c r="T32" s="68" t="e">
        <f>IF(AND('Mapa final'!#REF!="Media",'Mapa final'!#REF!="Menor"),CONCATENATE("R7C",'Mapa final'!#REF!),"")</f>
        <v>#REF!</v>
      </c>
      <c r="U32" s="69" t="e">
        <f>IF(AND('Mapa final'!#REF!="Media",'Mapa final'!#REF!="Menor"),CONCATENATE("R7C",'Mapa final'!#REF!),"")</f>
        <v>#REF!</v>
      </c>
      <c r="V32" s="67" t="e">
        <f>IF(AND('Mapa final'!#REF!="Media",'Mapa final'!#REF!="Moderado"),CONCATENATE("R7C",'Mapa final'!#REF!),"")</f>
        <v>#REF!</v>
      </c>
      <c r="W32" s="68" t="e">
        <f>IF(AND('Mapa final'!#REF!="Media",'Mapa final'!#REF!="Moderado"),CONCATENATE("R7C",'Mapa final'!#REF!),"")</f>
        <v>#REF!</v>
      </c>
      <c r="X32" s="68" t="e">
        <f>IF(AND('Mapa final'!#REF!="Media",'Mapa final'!#REF!="Moderado"),CONCATENATE("R7C",'Mapa final'!#REF!),"")</f>
        <v>#REF!</v>
      </c>
      <c r="Y32" s="68" t="e">
        <f>IF(AND('Mapa final'!#REF!="Media",'Mapa final'!#REF!="Moderado"),CONCATENATE("R7C",'Mapa final'!#REF!),"")</f>
        <v>#REF!</v>
      </c>
      <c r="Z32" s="68" t="e">
        <f>IF(AND('Mapa final'!#REF!="Media",'Mapa final'!#REF!="Moderado"),CONCATENATE("R7C",'Mapa final'!#REF!),"")</f>
        <v>#REF!</v>
      </c>
      <c r="AA32" s="69" t="e">
        <f>IF(AND('Mapa final'!#REF!="Media",'Mapa final'!#REF!="Moderado"),CONCATENATE("R7C",'Mapa final'!#REF!),"")</f>
        <v>#REF!</v>
      </c>
      <c r="AB32" s="52" t="e">
        <f>IF(AND('Mapa final'!#REF!="Media",'Mapa final'!#REF!="Mayor"),CONCATENATE("R7C",'Mapa final'!#REF!),"")</f>
        <v>#REF!</v>
      </c>
      <c r="AC32" s="53" t="e">
        <f>IF(AND('Mapa final'!#REF!="Media",'Mapa final'!#REF!="Mayor"),CONCATENATE("R7C",'Mapa final'!#REF!),"")</f>
        <v>#REF!</v>
      </c>
      <c r="AD32" s="53" t="e">
        <f>IF(AND('Mapa final'!#REF!="Media",'Mapa final'!#REF!="Mayor"),CONCATENATE("R7C",'Mapa final'!#REF!),"")</f>
        <v>#REF!</v>
      </c>
      <c r="AE32" s="53" t="e">
        <f>IF(AND('Mapa final'!#REF!="Media",'Mapa final'!#REF!="Mayor"),CONCATENATE("R7C",'Mapa final'!#REF!),"")</f>
        <v>#REF!</v>
      </c>
      <c r="AF32" s="53" t="e">
        <f>IF(AND('Mapa final'!#REF!="Media",'Mapa final'!#REF!="Mayor"),CONCATENATE("R7C",'Mapa final'!#REF!),"")</f>
        <v>#REF!</v>
      </c>
      <c r="AG32" s="54" t="e">
        <f>IF(AND('Mapa final'!#REF!="Media",'Mapa final'!#REF!="Mayor"),CONCATENATE("R7C",'Mapa final'!#REF!),"")</f>
        <v>#REF!</v>
      </c>
      <c r="AH32" s="55" t="e">
        <f>IF(AND('Mapa final'!#REF!="Media",'Mapa final'!#REF!="Catastrófico"),CONCATENATE("R7C",'Mapa final'!#REF!),"")</f>
        <v>#REF!</v>
      </c>
      <c r="AI32" s="56" t="e">
        <f>IF(AND('Mapa final'!#REF!="Media",'Mapa final'!#REF!="Catastrófico"),CONCATENATE("R7C",'Mapa final'!#REF!),"")</f>
        <v>#REF!</v>
      </c>
      <c r="AJ32" s="56" t="e">
        <f>IF(AND('Mapa final'!#REF!="Media",'Mapa final'!#REF!="Catastrófico"),CONCATENATE("R7C",'Mapa final'!#REF!),"")</f>
        <v>#REF!</v>
      </c>
      <c r="AK32" s="56" t="e">
        <f>IF(AND('Mapa final'!#REF!="Media",'Mapa final'!#REF!="Catastrófico"),CONCATENATE("R7C",'Mapa final'!#REF!),"")</f>
        <v>#REF!</v>
      </c>
      <c r="AL32" s="56" t="e">
        <f>IF(AND('Mapa final'!#REF!="Media",'Mapa final'!#REF!="Catastrófico"),CONCATENATE("R7C",'Mapa final'!#REF!),"")</f>
        <v>#REF!</v>
      </c>
      <c r="AM32" s="57" t="e">
        <f>IF(AND('Mapa final'!#REF!="Media",'Mapa final'!#REF!="Catastrófico"),CONCATENATE("R7C",'Mapa final'!#REF!),"")</f>
        <v>#REF!</v>
      </c>
      <c r="AN32" s="83"/>
      <c r="AO32" s="364"/>
      <c r="AP32" s="365"/>
      <c r="AQ32" s="365"/>
      <c r="AR32" s="365"/>
      <c r="AS32" s="365"/>
      <c r="AT32" s="366"/>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236"/>
      <c r="C33" s="236"/>
      <c r="D33" s="237"/>
      <c r="E33" s="335"/>
      <c r="F33" s="334"/>
      <c r="G33" s="334"/>
      <c r="H33" s="334"/>
      <c r="I33" s="350"/>
      <c r="J33" s="67" t="e">
        <f>IF(AND('Mapa final'!#REF!="Media",'Mapa final'!#REF!="Leve"),CONCATENATE("R8C",'Mapa final'!#REF!),"")</f>
        <v>#REF!</v>
      </c>
      <c r="K33" s="68" t="e">
        <f>IF(AND('Mapa final'!#REF!="Media",'Mapa final'!#REF!="Leve"),CONCATENATE("R8C",'Mapa final'!#REF!),"")</f>
        <v>#REF!</v>
      </c>
      <c r="L33" s="68" t="e">
        <f>IF(AND('Mapa final'!#REF!="Media",'Mapa final'!#REF!="Leve"),CONCATENATE("R8C",'Mapa final'!#REF!),"")</f>
        <v>#REF!</v>
      </c>
      <c r="M33" s="68" t="e">
        <f>IF(AND('Mapa final'!#REF!="Media",'Mapa final'!#REF!="Leve"),CONCATENATE("R8C",'Mapa final'!#REF!),"")</f>
        <v>#REF!</v>
      </c>
      <c r="N33" s="68" t="e">
        <f>IF(AND('Mapa final'!#REF!="Media",'Mapa final'!#REF!="Leve"),CONCATENATE("R8C",'Mapa final'!#REF!),"")</f>
        <v>#REF!</v>
      </c>
      <c r="O33" s="69" t="e">
        <f>IF(AND('Mapa final'!#REF!="Media",'Mapa final'!#REF!="Leve"),CONCATENATE("R8C",'Mapa final'!#REF!),"")</f>
        <v>#REF!</v>
      </c>
      <c r="P33" s="67" t="e">
        <f>IF(AND('Mapa final'!#REF!="Media",'Mapa final'!#REF!="Menor"),CONCATENATE("R8C",'Mapa final'!#REF!),"")</f>
        <v>#REF!</v>
      </c>
      <c r="Q33" s="68" t="e">
        <f>IF(AND('Mapa final'!#REF!="Media",'Mapa final'!#REF!="Menor"),CONCATENATE("R8C",'Mapa final'!#REF!),"")</f>
        <v>#REF!</v>
      </c>
      <c r="R33" s="68" t="e">
        <f>IF(AND('Mapa final'!#REF!="Media",'Mapa final'!#REF!="Menor"),CONCATENATE("R8C",'Mapa final'!#REF!),"")</f>
        <v>#REF!</v>
      </c>
      <c r="S33" s="68" t="e">
        <f>IF(AND('Mapa final'!#REF!="Media",'Mapa final'!#REF!="Menor"),CONCATENATE("R8C",'Mapa final'!#REF!),"")</f>
        <v>#REF!</v>
      </c>
      <c r="T33" s="68" t="e">
        <f>IF(AND('Mapa final'!#REF!="Media",'Mapa final'!#REF!="Menor"),CONCATENATE("R8C",'Mapa final'!#REF!),"")</f>
        <v>#REF!</v>
      </c>
      <c r="U33" s="69" t="e">
        <f>IF(AND('Mapa final'!#REF!="Media",'Mapa final'!#REF!="Menor"),CONCATENATE("R8C",'Mapa final'!#REF!),"")</f>
        <v>#REF!</v>
      </c>
      <c r="V33" s="67" t="e">
        <f>IF(AND('Mapa final'!#REF!="Media",'Mapa final'!#REF!="Moderado"),CONCATENATE("R8C",'Mapa final'!#REF!),"")</f>
        <v>#REF!</v>
      </c>
      <c r="W33" s="68" t="e">
        <f>IF(AND('Mapa final'!#REF!="Media",'Mapa final'!#REF!="Moderado"),CONCATENATE("R8C",'Mapa final'!#REF!),"")</f>
        <v>#REF!</v>
      </c>
      <c r="X33" s="68" t="e">
        <f>IF(AND('Mapa final'!#REF!="Media",'Mapa final'!#REF!="Moderado"),CONCATENATE("R8C",'Mapa final'!#REF!),"")</f>
        <v>#REF!</v>
      </c>
      <c r="Y33" s="68" t="e">
        <f>IF(AND('Mapa final'!#REF!="Media",'Mapa final'!#REF!="Moderado"),CONCATENATE("R8C",'Mapa final'!#REF!),"")</f>
        <v>#REF!</v>
      </c>
      <c r="Z33" s="68" t="e">
        <f>IF(AND('Mapa final'!#REF!="Media",'Mapa final'!#REF!="Moderado"),CONCATENATE("R8C",'Mapa final'!#REF!),"")</f>
        <v>#REF!</v>
      </c>
      <c r="AA33" s="69" t="e">
        <f>IF(AND('Mapa final'!#REF!="Media",'Mapa final'!#REF!="Moderado"),CONCATENATE("R8C",'Mapa final'!#REF!),"")</f>
        <v>#REF!</v>
      </c>
      <c r="AB33" s="52" t="e">
        <f>IF(AND('Mapa final'!#REF!="Media",'Mapa final'!#REF!="Mayor"),CONCATENATE("R8C",'Mapa final'!#REF!),"")</f>
        <v>#REF!</v>
      </c>
      <c r="AC33" s="53" t="e">
        <f>IF(AND('Mapa final'!#REF!="Media",'Mapa final'!#REF!="Mayor"),CONCATENATE("R8C",'Mapa final'!#REF!),"")</f>
        <v>#REF!</v>
      </c>
      <c r="AD33" s="53" t="e">
        <f>IF(AND('Mapa final'!#REF!="Media",'Mapa final'!#REF!="Mayor"),CONCATENATE("R8C",'Mapa final'!#REF!),"")</f>
        <v>#REF!</v>
      </c>
      <c r="AE33" s="53" t="e">
        <f>IF(AND('Mapa final'!#REF!="Media",'Mapa final'!#REF!="Mayor"),CONCATENATE("R8C",'Mapa final'!#REF!),"")</f>
        <v>#REF!</v>
      </c>
      <c r="AF33" s="53" t="e">
        <f>IF(AND('Mapa final'!#REF!="Media",'Mapa final'!#REF!="Mayor"),CONCATENATE("R8C",'Mapa final'!#REF!),"")</f>
        <v>#REF!</v>
      </c>
      <c r="AG33" s="54" t="e">
        <f>IF(AND('Mapa final'!#REF!="Media",'Mapa final'!#REF!="Mayor"),CONCATENATE("R8C",'Mapa final'!#REF!),"")</f>
        <v>#REF!</v>
      </c>
      <c r="AH33" s="55" t="e">
        <f>IF(AND('Mapa final'!#REF!="Media",'Mapa final'!#REF!="Catastrófico"),CONCATENATE("R8C",'Mapa final'!#REF!),"")</f>
        <v>#REF!</v>
      </c>
      <c r="AI33" s="56" t="e">
        <f>IF(AND('Mapa final'!#REF!="Media",'Mapa final'!#REF!="Catastrófico"),CONCATENATE("R8C",'Mapa final'!#REF!),"")</f>
        <v>#REF!</v>
      </c>
      <c r="AJ33" s="56" t="e">
        <f>IF(AND('Mapa final'!#REF!="Media",'Mapa final'!#REF!="Catastrófico"),CONCATENATE("R8C",'Mapa final'!#REF!),"")</f>
        <v>#REF!</v>
      </c>
      <c r="AK33" s="56" t="e">
        <f>IF(AND('Mapa final'!#REF!="Media",'Mapa final'!#REF!="Catastrófico"),CONCATENATE("R8C",'Mapa final'!#REF!),"")</f>
        <v>#REF!</v>
      </c>
      <c r="AL33" s="56" t="e">
        <f>IF(AND('Mapa final'!#REF!="Media",'Mapa final'!#REF!="Catastrófico"),CONCATENATE("R8C",'Mapa final'!#REF!),"")</f>
        <v>#REF!</v>
      </c>
      <c r="AM33" s="57" t="e">
        <f>IF(AND('Mapa final'!#REF!="Media",'Mapa final'!#REF!="Catastrófico"),CONCATENATE("R8C",'Mapa final'!#REF!),"")</f>
        <v>#REF!</v>
      </c>
      <c r="AN33" s="83"/>
      <c r="AO33" s="364"/>
      <c r="AP33" s="365"/>
      <c r="AQ33" s="365"/>
      <c r="AR33" s="365"/>
      <c r="AS33" s="365"/>
      <c r="AT33" s="366"/>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236"/>
      <c r="C34" s="236"/>
      <c r="D34" s="237"/>
      <c r="E34" s="335"/>
      <c r="F34" s="334"/>
      <c r="G34" s="334"/>
      <c r="H34" s="334"/>
      <c r="I34" s="350"/>
      <c r="J34" s="67" t="str">
        <f>IF(AND('Mapa final'!$Z$25="Media",'Mapa final'!$AB$25="Leve"),CONCATENATE("R9C",'Mapa final'!$P$25),"")</f>
        <v/>
      </c>
      <c r="K34" s="68" t="str">
        <f>IF(AND('Mapa final'!$Z$26="Media",'Mapa final'!$AB$26="Leve"),CONCATENATE("R9C",'Mapa final'!$P$26),"")</f>
        <v/>
      </c>
      <c r="L34" s="68" t="str">
        <f>IF(AND('Mapa final'!$Z$27="Media",'Mapa final'!$AB$27="Leve"),CONCATENATE("R9C",'Mapa final'!$P$27),"")</f>
        <v/>
      </c>
      <c r="M34" s="68" t="e">
        <f>IF(AND('Mapa final'!#REF!="Media",'Mapa final'!#REF!="Leve"),CONCATENATE("R9C",'Mapa final'!#REF!),"")</f>
        <v>#REF!</v>
      </c>
      <c r="N34" s="68" t="e">
        <f>IF(AND('Mapa final'!#REF!="Media",'Mapa final'!#REF!="Leve"),CONCATENATE("R9C",'Mapa final'!#REF!),"")</f>
        <v>#REF!</v>
      </c>
      <c r="O34" s="69" t="e">
        <f>IF(AND('Mapa final'!#REF!="Media",'Mapa final'!#REF!="Leve"),CONCATENATE("R9C",'Mapa final'!#REF!),"")</f>
        <v>#REF!</v>
      </c>
      <c r="P34" s="67" t="str">
        <f>IF(AND('Mapa final'!$Z$25="Media",'Mapa final'!$AB$25="Menor"),CONCATENATE("R9C",'Mapa final'!$P$25),"")</f>
        <v>R9C1</v>
      </c>
      <c r="Q34" s="68" t="str">
        <f>IF(AND('Mapa final'!$Z$26="Media",'Mapa final'!$AB$26="Menor"),CONCATENATE("R9C",'Mapa final'!$P$26),"")</f>
        <v>R9C2</v>
      </c>
      <c r="R34" s="68" t="str">
        <f>IF(AND('Mapa final'!$Z$27="Media",'Mapa final'!$AB$27="Menor"),CONCATENATE("R9C",'Mapa final'!$P$27),"")</f>
        <v/>
      </c>
      <c r="S34" s="68" t="e">
        <f>IF(AND('Mapa final'!#REF!="Media",'Mapa final'!#REF!="Menor"),CONCATENATE("R9C",'Mapa final'!#REF!),"")</f>
        <v>#REF!</v>
      </c>
      <c r="T34" s="68" t="e">
        <f>IF(AND('Mapa final'!#REF!="Media",'Mapa final'!#REF!="Menor"),CONCATENATE("R9C",'Mapa final'!#REF!),"")</f>
        <v>#REF!</v>
      </c>
      <c r="U34" s="69" t="e">
        <f>IF(AND('Mapa final'!#REF!="Media",'Mapa final'!#REF!="Menor"),CONCATENATE("R9C",'Mapa final'!#REF!),"")</f>
        <v>#REF!</v>
      </c>
      <c r="V34" s="67" t="str">
        <f>IF(AND('Mapa final'!$Z$25="Media",'Mapa final'!$AB$25="Moderado"),CONCATENATE("R9C",'Mapa final'!$P$25),"")</f>
        <v/>
      </c>
      <c r="W34" s="68" t="str">
        <f>IF(AND('Mapa final'!$Z$26="Media",'Mapa final'!$AB$26="Moderado"),CONCATENATE("R9C",'Mapa final'!$P$26),"")</f>
        <v/>
      </c>
      <c r="X34" s="68" t="str">
        <f>IF(AND('Mapa final'!$Z$27="Media",'Mapa final'!$AB$27="Moderado"),CONCATENATE("R9C",'Mapa final'!$P$27),"")</f>
        <v/>
      </c>
      <c r="Y34" s="68" t="e">
        <f>IF(AND('Mapa final'!#REF!="Media",'Mapa final'!#REF!="Moderado"),CONCATENATE("R9C",'Mapa final'!#REF!),"")</f>
        <v>#REF!</v>
      </c>
      <c r="Z34" s="68" t="e">
        <f>IF(AND('Mapa final'!#REF!="Media",'Mapa final'!#REF!="Moderado"),CONCATENATE("R9C",'Mapa final'!#REF!),"")</f>
        <v>#REF!</v>
      </c>
      <c r="AA34" s="69" t="e">
        <f>IF(AND('Mapa final'!#REF!="Media",'Mapa final'!#REF!="Moderado"),CONCATENATE("R9C",'Mapa final'!#REF!),"")</f>
        <v>#REF!</v>
      </c>
      <c r="AB34" s="52" t="str">
        <f>IF(AND('Mapa final'!$Z$25="Media",'Mapa final'!$AB$25="Mayor"),CONCATENATE("R9C",'Mapa final'!$P$25),"")</f>
        <v/>
      </c>
      <c r="AC34" s="53" t="str">
        <f>IF(AND('Mapa final'!$Z$26="Media",'Mapa final'!$AB$26="Mayor"),CONCATENATE("R9C",'Mapa final'!$P$26),"")</f>
        <v/>
      </c>
      <c r="AD34" s="53" t="str">
        <f>IF(AND('Mapa final'!$Z$27="Media",'Mapa final'!$AB$27="Mayor"),CONCATENATE("R9C",'Mapa final'!$P$27),"")</f>
        <v/>
      </c>
      <c r="AE34" s="53" t="e">
        <f>IF(AND('Mapa final'!#REF!="Media",'Mapa final'!#REF!="Mayor"),CONCATENATE("R9C",'Mapa final'!#REF!),"")</f>
        <v>#REF!</v>
      </c>
      <c r="AF34" s="53" t="e">
        <f>IF(AND('Mapa final'!#REF!="Media",'Mapa final'!#REF!="Mayor"),CONCATENATE("R9C",'Mapa final'!#REF!),"")</f>
        <v>#REF!</v>
      </c>
      <c r="AG34" s="54" t="e">
        <f>IF(AND('Mapa final'!#REF!="Media",'Mapa final'!#REF!="Mayor"),CONCATENATE("R9C",'Mapa final'!#REF!),"")</f>
        <v>#REF!</v>
      </c>
      <c r="AH34" s="55" t="str">
        <f>IF(AND('Mapa final'!$Z$25="Media",'Mapa final'!$AB$25="Catastrófico"),CONCATENATE("R9C",'Mapa final'!$P$25),"")</f>
        <v/>
      </c>
      <c r="AI34" s="56" t="str">
        <f>IF(AND('Mapa final'!$Z$26="Media",'Mapa final'!$AB$26="Catastrófico"),CONCATENATE("R9C",'Mapa final'!$P$26),"")</f>
        <v/>
      </c>
      <c r="AJ34" s="56" t="str">
        <f>IF(AND('Mapa final'!$Z$27="Media",'Mapa final'!$AB$27="Catastrófico"),CONCATENATE("R9C",'Mapa final'!$P$27),"")</f>
        <v/>
      </c>
      <c r="AK34" s="56" t="e">
        <f>IF(AND('Mapa final'!#REF!="Media",'Mapa final'!#REF!="Catastrófico"),CONCATENATE("R9C",'Mapa final'!#REF!),"")</f>
        <v>#REF!</v>
      </c>
      <c r="AL34" s="56" t="e">
        <f>IF(AND('Mapa final'!#REF!="Media",'Mapa final'!#REF!="Catastrófico"),CONCATENATE("R9C",'Mapa final'!#REF!),"")</f>
        <v>#REF!</v>
      </c>
      <c r="AM34" s="57" t="e">
        <f>IF(AND('Mapa final'!#REF!="Media",'Mapa final'!#REF!="Catastrófico"),CONCATENATE("R9C",'Mapa final'!#REF!),"")</f>
        <v>#REF!</v>
      </c>
      <c r="AN34" s="83"/>
      <c r="AO34" s="364"/>
      <c r="AP34" s="365"/>
      <c r="AQ34" s="365"/>
      <c r="AR34" s="365"/>
      <c r="AS34" s="365"/>
      <c r="AT34" s="366"/>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236"/>
      <c r="C35" s="236"/>
      <c r="D35" s="237"/>
      <c r="E35" s="336"/>
      <c r="F35" s="337"/>
      <c r="G35" s="337"/>
      <c r="H35" s="337"/>
      <c r="I35" s="351"/>
      <c r="J35" s="67" t="str">
        <f>IF(AND('Mapa final'!$Z$28="Media",'Mapa final'!$AB$28="Leve"),CONCATENATE("R10C",'Mapa final'!$P$28),"")</f>
        <v/>
      </c>
      <c r="K35" s="68" t="str">
        <f>IF(AND('Mapa final'!$Z$29="Media",'Mapa final'!$AB$29="Leve"),CONCATENATE("R10C",'Mapa final'!$P$29),"")</f>
        <v/>
      </c>
      <c r="L35" s="68" t="str">
        <f>IF(AND('Mapa final'!$Z$30="Media",'Mapa final'!$AB$30="Leve"),CONCATENATE("R10C",'Mapa final'!$P$30),"")</f>
        <v/>
      </c>
      <c r="M35" s="68" t="e">
        <f>IF(AND('Mapa final'!#REF!="Media",'Mapa final'!#REF!="Leve"),CONCATENATE("R10C",'Mapa final'!#REF!),"")</f>
        <v>#REF!</v>
      </c>
      <c r="N35" s="68" t="e">
        <f>IF(AND('Mapa final'!#REF!="Media",'Mapa final'!#REF!="Leve"),CONCATENATE("R10C",'Mapa final'!#REF!),"")</f>
        <v>#REF!</v>
      </c>
      <c r="O35" s="69" t="e">
        <f>IF(AND('Mapa final'!#REF!="Media",'Mapa final'!#REF!="Leve"),CONCATENATE("R10C",'Mapa final'!#REF!),"")</f>
        <v>#REF!</v>
      </c>
      <c r="P35" s="67" t="str">
        <f>IF(AND('Mapa final'!$Z$28="Media",'Mapa final'!$AB$28="Menor"),CONCATENATE("R10C",'Mapa final'!$P$28),"")</f>
        <v/>
      </c>
      <c r="Q35" s="68" t="str">
        <f>IF(AND('Mapa final'!$Z$29="Media",'Mapa final'!$AB$29="Menor"),CONCATENATE("R10C",'Mapa final'!$P$29),"")</f>
        <v/>
      </c>
      <c r="R35" s="68" t="str">
        <f>IF(AND('Mapa final'!$Z$30="Media",'Mapa final'!$AB$30="Menor"),CONCATENATE("R10C",'Mapa final'!$P$30),"")</f>
        <v/>
      </c>
      <c r="S35" s="68" t="e">
        <f>IF(AND('Mapa final'!#REF!="Media",'Mapa final'!#REF!="Menor"),CONCATENATE("R10C",'Mapa final'!#REF!),"")</f>
        <v>#REF!</v>
      </c>
      <c r="T35" s="68" t="e">
        <f>IF(AND('Mapa final'!#REF!="Media",'Mapa final'!#REF!="Menor"),CONCATENATE("R10C",'Mapa final'!#REF!),"")</f>
        <v>#REF!</v>
      </c>
      <c r="U35" s="69" t="e">
        <f>IF(AND('Mapa final'!#REF!="Media",'Mapa final'!#REF!="Menor"),CONCATENATE("R10C",'Mapa final'!#REF!),"")</f>
        <v>#REF!</v>
      </c>
      <c r="V35" s="67" t="str">
        <f>IF(AND('Mapa final'!$Z$28="Media",'Mapa final'!$AB$28="Moderado"),CONCATENATE("R10C",'Mapa final'!$P$28),"")</f>
        <v/>
      </c>
      <c r="W35" s="68" t="str">
        <f>IF(AND('Mapa final'!$Z$29="Media",'Mapa final'!$AB$29="Moderado"),CONCATENATE("R10C",'Mapa final'!$P$29),"")</f>
        <v/>
      </c>
      <c r="X35" s="68" t="str">
        <f>IF(AND('Mapa final'!$Z$30="Media",'Mapa final'!$AB$30="Moderado"),CONCATENATE("R10C",'Mapa final'!$P$30),"")</f>
        <v/>
      </c>
      <c r="Y35" s="68" t="e">
        <f>IF(AND('Mapa final'!#REF!="Media",'Mapa final'!#REF!="Moderado"),CONCATENATE("R10C",'Mapa final'!#REF!),"")</f>
        <v>#REF!</v>
      </c>
      <c r="Z35" s="68" t="e">
        <f>IF(AND('Mapa final'!#REF!="Media",'Mapa final'!#REF!="Moderado"),CONCATENATE("R10C",'Mapa final'!#REF!),"")</f>
        <v>#REF!</v>
      </c>
      <c r="AA35" s="69" t="e">
        <f>IF(AND('Mapa final'!#REF!="Media",'Mapa final'!#REF!="Moderado"),CONCATENATE("R10C",'Mapa final'!#REF!),"")</f>
        <v>#REF!</v>
      </c>
      <c r="AB35" s="58" t="str">
        <f>IF(AND('Mapa final'!$Z$28="Media",'Mapa final'!$AB$28="Mayor"),CONCATENATE("R10C",'Mapa final'!$P$28),"")</f>
        <v/>
      </c>
      <c r="AC35" s="59" t="str">
        <f>IF(AND('Mapa final'!$Z$29="Media",'Mapa final'!$AB$29="Mayor"),CONCATENATE("R10C",'Mapa final'!$P$29),"")</f>
        <v/>
      </c>
      <c r="AD35" s="59" t="str">
        <f>IF(AND('Mapa final'!$Z$30="Media",'Mapa final'!$AB$30="Mayor"),CONCATENATE("R10C",'Mapa final'!$P$30),"")</f>
        <v/>
      </c>
      <c r="AE35" s="59" t="e">
        <f>IF(AND('Mapa final'!#REF!="Media",'Mapa final'!#REF!="Mayor"),CONCATENATE("R10C",'Mapa final'!#REF!),"")</f>
        <v>#REF!</v>
      </c>
      <c r="AF35" s="59" t="e">
        <f>IF(AND('Mapa final'!#REF!="Media",'Mapa final'!#REF!="Mayor"),CONCATENATE("R10C",'Mapa final'!#REF!),"")</f>
        <v>#REF!</v>
      </c>
      <c r="AG35" s="60" t="e">
        <f>IF(AND('Mapa final'!#REF!="Media",'Mapa final'!#REF!="Mayor"),CONCATENATE("R10C",'Mapa final'!#REF!),"")</f>
        <v>#REF!</v>
      </c>
      <c r="AH35" s="61" t="str">
        <f>IF(AND('Mapa final'!$Z$28="Media",'Mapa final'!$AB$28="Catastrófico"),CONCATENATE("R10C",'Mapa final'!$P$28),"")</f>
        <v/>
      </c>
      <c r="AI35" s="62" t="str">
        <f>IF(AND('Mapa final'!$Z$29="Media",'Mapa final'!$AB$29="Catastrófico"),CONCATENATE("R10C",'Mapa final'!$P$29),"")</f>
        <v/>
      </c>
      <c r="AJ35" s="62" t="str">
        <f>IF(AND('Mapa final'!$Z$30="Media",'Mapa final'!$AB$30="Catastrófico"),CONCATENATE("R10C",'Mapa final'!$P$30),"")</f>
        <v/>
      </c>
      <c r="AK35" s="62" t="e">
        <f>IF(AND('Mapa final'!#REF!="Media",'Mapa final'!#REF!="Catastrófico"),CONCATENATE("R10C",'Mapa final'!#REF!),"")</f>
        <v>#REF!</v>
      </c>
      <c r="AL35" s="62" t="e">
        <f>IF(AND('Mapa final'!#REF!="Media",'Mapa final'!#REF!="Catastrófico"),CONCATENATE("R10C",'Mapa final'!#REF!),"")</f>
        <v>#REF!</v>
      </c>
      <c r="AM35" s="63" t="e">
        <f>IF(AND('Mapa final'!#REF!="Media",'Mapa final'!#REF!="Catastrófico"),CONCATENATE("R10C",'Mapa final'!#REF!),"")</f>
        <v>#REF!</v>
      </c>
      <c r="AN35" s="83"/>
      <c r="AO35" s="367"/>
      <c r="AP35" s="368"/>
      <c r="AQ35" s="368"/>
      <c r="AR35" s="368"/>
      <c r="AS35" s="368"/>
      <c r="AT35" s="369"/>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236"/>
      <c r="C36" s="236"/>
      <c r="D36" s="237"/>
      <c r="E36" s="331" t="s">
        <v>110</v>
      </c>
      <c r="F36" s="332"/>
      <c r="G36" s="332"/>
      <c r="H36" s="332"/>
      <c r="I36" s="332"/>
      <c r="J36" s="73" t="str">
        <f>IF(AND('Mapa final'!$Z$10="Baja",'Mapa final'!$AB$10="Leve"),CONCATENATE("R1C",'Mapa final'!$P$10),"")</f>
        <v/>
      </c>
      <c r="K36" s="74" t="str">
        <f>IF(AND('Mapa final'!$Z$11="Baja",'Mapa final'!$AB$11="Leve"),CONCATENATE("R1C",'Mapa final'!$P$11),"")</f>
        <v/>
      </c>
      <c r="L36" s="74" t="str">
        <f>IF(AND('Mapa final'!$Z$12="Baja",'Mapa final'!$AB$12="Leve"),CONCATENATE("R1C",'Mapa final'!$P$12),"")</f>
        <v/>
      </c>
      <c r="M36" s="74" t="e">
        <f>IF(AND('Mapa final'!#REF!="Baja",'Mapa final'!#REF!="Leve"),CONCATENATE("R1C",'Mapa final'!#REF!),"")</f>
        <v>#REF!</v>
      </c>
      <c r="N36" s="74" t="e">
        <f>IF(AND('Mapa final'!#REF!="Baja",'Mapa final'!#REF!="Leve"),CONCATENATE("R1C",'Mapa final'!#REF!),"")</f>
        <v>#REF!</v>
      </c>
      <c r="O36" s="75" t="e">
        <f>IF(AND('Mapa final'!#REF!="Baja",'Mapa final'!#REF!="Leve"),CONCATENATE("R1C",'Mapa final'!#REF!),"")</f>
        <v>#REF!</v>
      </c>
      <c r="P36" s="64" t="str">
        <f>IF(AND('Mapa final'!$Z$10="Baja",'Mapa final'!$AB$10="Menor"),CONCATENATE("R1C",'Mapa final'!$P$10),"")</f>
        <v/>
      </c>
      <c r="Q36" s="65" t="str">
        <f>IF(AND('Mapa final'!$Z$11="Baja",'Mapa final'!$AB$11="Menor"),CONCATENATE("R1C",'Mapa final'!$P$11),"")</f>
        <v/>
      </c>
      <c r="R36" s="65" t="str">
        <f>IF(AND('Mapa final'!$Z$12="Baja",'Mapa final'!$AB$12="Menor"),CONCATENATE("R1C",'Mapa final'!$P$12),"")</f>
        <v/>
      </c>
      <c r="S36" s="65" t="e">
        <f>IF(AND('Mapa final'!#REF!="Baja",'Mapa final'!#REF!="Menor"),CONCATENATE("R1C",'Mapa final'!#REF!),"")</f>
        <v>#REF!</v>
      </c>
      <c r="T36" s="65" t="e">
        <f>IF(AND('Mapa final'!#REF!="Baja",'Mapa final'!#REF!="Menor"),CONCATENATE("R1C",'Mapa final'!#REF!),"")</f>
        <v>#REF!</v>
      </c>
      <c r="U36" s="66" t="e">
        <f>IF(AND('Mapa final'!#REF!="Baja",'Mapa final'!#REF!="Menor"),CONCATENATE("R1C",'Mapa final'!#REF!),"")</f>
        <v>#REF!</v>
      </c>
      <c r="V36" s="64" t="str">
        <f>IF(AND('Mapa final'!$Z$10="Baja",'Mapa final'!$AB$10="Moderado"),CONCATENATE("R1C",'Mapa final'!$P$10),"")</f>
        <v/>
      </c>
      <c r="W36" s="65" t="str">
        <f>IF(AND('Mapa final'!$Z$11="Baja",'Mapa final'!$AB$11="Moderado"),CONCATENATE("R1C",'Mapa final'!$P$11),"")</f>
        <v/>
      </c>
      <c r="X36" s="65" t="str">
        <f>IF(AND('Mapa final'!$Z$12="Baja",'Mapa final'!$AB$12="Moderado"),CONCATENATE("R1C",'Mapa final'!$P$12),"")</f>
        <v/>
      </c>
      <c r="Y36" s="65" t="e">
        <f>IF(AND('Mapa final'!#REF!="Baja",'Mapa final'!#REF!="Moderado"),CONCATENATE("R1C",'Mapa final'!#REF!),"")</f>
        <v>#REF!</v>
      </c>
      <c r="Z36" s="65" t="e">
        <f>IF(AND('Mapa final'!#REF!="Baja",'Mapa final'!#REF!="Moderado"),CONCATENATE("R1C",'Mapa final'!#REF!),"")</f>
        <v>#REF!</v>
      </c>
      <c r="AA36" s="66" t="e">
        <f>IF(AND('Mapa final'!#REF!="Baja",'Mapa final'!#REF!="Moderado"),CONCATENATE("R1C",'Mapa final'!#REF!),"")</f>
        <v>#REF!</v>
      </c>
      <c r="AB36" s="46" t="str">
        <f>IF(AND('Mapa final'!$Z$10="Baja",'Mapa final'!$AB$10="Mayor"),CONCATENATE("R1C",'Mapa final'!$P$10),"")</f>
        <v/>
      </c>
      <c r="AC36" s="47" t="str">
        <f>IF(AND('Mapa final'!$Z$11="Baja",'Mapa final'!$AB$11="Mayor"),CONCATENATE("R1C",'Mapa final'!$P$11),"")</f>
        <v/>
      </c>
      <c r="AD36" s="47" t="str">
        <f>IF(AND('Mapa final'!$Z$12="Baja",'Mapa final'!$AB$12="Mayor"),CONCATENATE("R1C",'Mapa final'!$P$12),"")</f>
        <v/>
      </c>
      <c r="AE36" s="47" t="e">
        <f>IF(AND('Mapa final'!#REF!="Baja",'Mapa final'!#REF!="Mayor"),CONCATENATE("R1C",'Mapa final'!#REF!),"")</f>
        <v>#REF!</v>
      </c>
      <c r="AF36" s="47" t="e">
        <f>IF(AND('Mapa final'!#REF!="Baja",'Mapa final'!#REF!="Mayor"),CONCATENATE("R1C",'Mapa final'!#REF!),"")</f>
        <v>#REF!</v>
      </c>
      <c r="AG36" s="48" t="e">
        <f>IF(AND('Mapa final'!#REF!="Baja",'Mapa final'!#REF!="Mayor"),CONCATENATE("R1C",'Mapa final'!#REF!),"")</f>
        <v>#REF!</v>
      </c>
      <c r="AH36" s="49" t="str">
        <f>IF(AND('Mapa final'!$Z$10="Baja",'Mapa final'!$AB$10="Catastrófico"),CONCATENATE("R1C",'Mapa final'!$P$10),"")</f>
        <v/>
      </c>
      <c r="AI36" s="50" t="str">
        <f>IF(AND('Mapa final'!$Z$11="Baja",'Mapa final'!$AB$11="Catastrófico"),CONCATENATE("R1C",'Mapa final'!$P$11),"")</f>
        <v/>
      </c>
      <c r="AJ36" s="50" t="str">
        <f>IF(AND('Mapa final'!$Z$12="Baja",'Mapa final'!$AB$12="Catastrófico"),CONCATENATE("R1C",'Mapa final'!$P$12),"")</f>
        <v/>
      </c>
      <c r="AK36" s="50" t="e">
        <f>IF(AND('Mapa final'!#REF!="Baja",'Mapa final'!#REF!="Catastrófico"),CONCATENATE("R1C",'Mapa final'!#REF!),"")</f>
        <v>#REF!</v>
      </c>
      <c r="AL36" s="50" t="e">
        <f>IF(AND('Mapa final'!#REF!="Baja",'Mapa final'!#REF!="Catastrófico"),CONCATENATE("R1C",'Mapa final'!#REF!),"")</f>
        <v>#REF!</v>
      </c>
      <c r="AM36" s="51" t="e">
        <f>IF(AND('Mapa final'!#REF!="Baja",'Mapa final'!#REF!="Catastrófico"),CONCATENATE("R1C",'Mapa final'!#REF!),"")</f>
        <v>#REF!</v>
      </c>
      <c r="AN36" s="83"/>
      <c r="AO36" s="352" t="s">
        <v>78</v>
      </c>
      <c r="AP36" s="353"/>
      <c r="AQ36" s="353"/>
      <c r="AR36" s="353"/>
      <c r="AS36" s="353"/>
      <c r="AT36" s="354"/>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236"/>
      <c r="C37" s="236"/>
      <c r="D37" s="237"/>
      <c r="E37" s="333"/>
      <c r="F37" s="334"/>
      <c r="G37" s="334"/>
      <c r="H37" s="334"/>
      <c r="I37" s="334"/>
      <c r="J37" s="76" t="str">
        <f>IF(AND('Mapa final'!$Z$13="Baja",'Mapa final'!$AB$13="Leve"),CONCATENATE("R2C",'Mapa final'!$P$13),"")</f>
        <v/>
      </c>
      <c r="K37" s="77" t="str">
        <f>IF(AND('Mapa final'!$Z$14="Baja",'Mapa final'!$AB$14="Leve"),CONCATENATE("R2C",'Mapa final'!$P$14),"")</f>
        <v/>
      </c>
      <c r="L37" s="77" t="str">
        <f>IF(AND('Mapa final'!$Z$15="Baja",'Mapa final'!$AB$15="Leve"),CONCATENATE("R2C",'Mapa final'!$P$15),"")</f>
        <v/>
      </c>
      <c r="M37" s="77" t="e">
        <f>IF(AND('Mapa final'!#REF!="Baja",'Mapa final'!#REF!="Leve"),CONCATENATE("R2C",'Mapa final'!#REF!),"")</f>
        <v>#REF!</v>
      </c>
      <c r="N37" s="77" t="e">
        <f>IF(AND('Mapa final'!#REF!="Baja",'Mapa final'!#REF!="Leve"),CONCATENATE("R2C",'Mapa final'!#REF!),"")</f>
        <v>#REF!</v>
      </c>
      <c r="O37" s="78" t="e">
        <f>IF(AND('Mapa final'!#REF!="Baja",'Mapa final'!#REF!="Leve"),CONCATENATE("R2C",'Mapa final'!#REF!),"")</f>
        <v>#REF!</v>
      </c>
      <c r="P37" s="67" t="str">
        <f>IF(AND('Mapa final'!$Z$13="Baja",'Mapa final'!$AB$13="Menor"),CONCATENATE("R2C",'Mapa final'!$P$13),"")</f>
        <v/>
      </c>
      <c r="Q37" s="68" t="str">
        <f>IF(AND('Mapa final'!$Z$14="Baja",'Mapa final'!$AB$14="Menor"),CONCATENATE("R2C",'Mapa final'!$P$14),"")</f>
        <v/>
      </c>
      <c r="R37" s="68" t="str">
        <f>IF(AND('Mapa final'!$Z$15="Baja",'Mapa final'!$AB$15="Menor"),CONCATENATE("R2C",'Mapa final'!$P$15),"")</f>
        <v/>
      </c>
      <c r="S37" s="68" t="e">
        <f>IF(AND('Mapa final'!#REF!="Baja",'Mapa final'!#REF!="Menor"),CONCATENATE("R2C",'Mapa final'!#REF!),"")</f>
        <v>#REF!</v>
      </c>
      <c r="T37" s="68" t="e">
        <f>IF(AND('Mapa final'!#REF!="Baja",'Mapa final'!#REF!="Menor"),CONCATENATE("R2C",'Mapa final'!#REF!),"")</f>
        <v>#REF!</v>
      </c>
      <c r="U37" s="69" t="e">
        <f>IF(AND('Mapa final'!#REF!="Baja",'Mapa final'!#REF!="Menor"),CONCATENATE("R2C",'Mapa final'!#REF!),"")</f>
        <v>#REF!</v>
      </c>
      <c r="V37" s="67" t="str">
        <f>IF(AND('Mapa final'!$Z$13="Baja",'Mapa final'!$AB$13="Moderado"),CONCATENATE("R2C",'Mapa final'!$P$13),"")</f>
        <v>R2C1</v>
      </c>
      <c r="W37" s="68" t="str">
        <f>IF(AND('Mapa final'!$Z$14="Baja",'Mapa final'!$AB$14="Moderado"),CONCATENATE("R2C",'Mapa final'!$P$14),"")</f>
        <v/>
      </c>
      <c r="X37" s="68" t="str">
        <f>IF(AND('Mapa final'!$Z$15="Baja",'Mapa final'!$AB$15="Moderado"),CONCATENATE("R2C",'Mapa final'!$P$15),"")</f>
        <v/>
      </c>
      <c r="Y37" s="68" t="e">
        <f>IF(AND('Mapa final'!#REF!="Baja",'Mapa final'!#REF!="Moderado"),CONCATENATE("R2C",'Mapa final'!#REF!),"")</f>
        <v>#REF!</v>
      </c>
      <c r="Z37" s="68" t="e">
        <f>IF(AND('Mapa final'!#REF!="Baja",'Mapa final'!#REF!="Moderado"),CONCATENATE("R2C",'Mapa final'!#REF!),"")</f>
        <v>#REF!</v>
      </c>
      <c r="AA37" s="69" t="e">
        <f>IF(AND('Mapa final'!#REF!="Baja",'Mapa final'!#REF!="Moderado"),CONCATENATE("R2C",'Mapa final'!#REF!),"")</f>
        <v>#REF!</v>
      </c>
      <c r="AB37" s="52" t="str">
        <f>IF(AND('Mapa final'!$Z$13="Baja",'Mapa final'!$AB$13="Mayor"),CONCATENATE("R2C",'Mapa final'!$P$13),"")</f>
        <v/>
      </c>
      <c r="AC37" s="53" t="str">
        <f>IF(AND('Mapa final'!$Z$14="Baja",'Mapa final'!$AB$14="Mayor"),CONCATENATE("R2C",'Mapa final'!$P$14),"")</f>
        <v/>
      </c>
      <c r="AD37" s="53" t="str">
        <f>IF(AND('Mapa final'!$Z$15="Baja",'Mapa final'!$AB$15="Mayor"),CONCATENATE("R2C",'Mapa final'!$P$15),"")</f>
        <v/>
      </c>
      <c r="AE37" s="53" t="e">
        <f>IF(AND('Mapa final'!#REF!="Baja",'Mapa final'!#REF!="Mayor"),CONCATENATE("R2C",'Mapa final'!#REF!),"")</f>
        <v>#REF!</v>
      </c>
      <c r="AF37" s="53" t="e">
        <f>IF(AND('Mapa final'!#REF!="Baja",'Mapa final'!#REF!="Mayor"),CONCATENATE("R2C",'Mapa final'!#REF!),"")</f>
        <v>#REF!</v>
      </c>
      <c r="AG37" s="54" t="e">
        <f>IF(AND('Mapa final'!#REF!="Baja",'Mapa final'!#REF!="Mayor"),CONCATENATE("R2C",'Mapa final'!#REF!),"")</f>
        <v>#REF!</v>
      </c>
      <c r="AH37" s="55" t="str">
        <f>IF(AND('Mapa final'!$Z$13="Baja",'Mapa final'!$AB$13="Catastrófico"),CONCATENATE("R2C",'Mapa final'!$P$13),"")</f>
        <v/>
      </c>
      <c r="AI37" s="56" t="str">
        <f>IF(AND('Mapa final'!$Z$14="Baja",'Mapa final'!$AB$14="Catastrófico"),CONCATENATE("R2C",'Mapa final'!$P$14),"")</f>
        <v/>
      </c>
      <c r="AJ37" s="56" t="str">
        <f>IF(AND('Mapa final'!$Z$15="Baja",'Mapa final'!$AB$15="Catastrófico"),CONCATENATE("R2C",'Mapa final'!$P$15),"")</f>
        <v/>
      </c>
      <c r="AK37" s="56" t="e">
        <f>IF(AND('Mapa final'!#REF!="Baja",'Mapa final'!#REF!="Catastrófico"),CONCATENATE("R2C",'Mapa final'!#REF!),"")</f>
        <v>#REF!</v>
      </c>
      <c r="AL37" s="56" t="e">
        <f>IF(AND('Mapa final'!#REF!="Baja",'Mapa final'!#REF!="Catastrófico"),CONCATENATE("R2C",'Mapa final'!#REF!),"")</f>
        <v>#REF!</v>
      </c>
      <c r="AM37" s="57" t="e">
        <f>IF(AND('Mapa final'!#REF!="Baja",'Mapa final'!#REF!="Catastrófico"),CONCATENATE("R2C",'Mapa final'!#REF!),"")</f>
        <v>#REF!</v>
      </c>
      <c r="AN37" s="83"/>
      <c r="AO37" s="355"/>
      <c r="AP37" s="356"/>
      <c r="AQ37" s="356"/>
      <c r="AR37" s="356"/>
      <c r="AS37" s="356"/>
      <c r="AT37" s="357"/>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236"/>
      <c r="C38" s="236"/>
      <c r="D38" s="237"/>
      <c r="E38" s="335"/>
      <c r="F38" s="334"/>
      <c r="G38" s="334"/>
      <c r="H38" s="334"/>
      <c r="I38" s="334"/>
      <c r="J38" s="76" t="str">
        <f>IF(AND('Mapa final'!$Z$16="Baja",'Mapa final'!$AB$16="Leve"),CONCATENATE("R3C",'Mapa final'!$P$16),"")</f>
        <v/>
      </c>
      <c r="K38" s="77" t="str">
        <f>IF(AND('Mapa final'!$Z$17="Baja",'Mapa final'!$AB$17="Leve"),CONCATENATE("R3C",'Mapa final'!$P$17),"")</f>
        <v/>
      </c>
      <c r="L38" s="77" t="str">
        <f>IF(AND('Mapa final'!$Z$18="Baja",'Mapa final'!$AB$18="Leve"),CONCATENATE("R3C",'Mapa final'!$P$18),"")</f>
        <v/>
      </c>
      <c r="M38" s="77" t="e">
        <f>IF(AND('Mapa final'!#REF!="Baja",'Mapa final'!#REF!="Leve"),CONCATENATE("R3C",'Mapa final'!#REF!),"")</f>
        <v>#REF!</v>
      </c>
      <c r="N38" s="77" t="e">
        <f>IF(AND('Mapa final'!#REF!="Baja",'Mapa final'!#REF!="Leve"),CONCATENATE("R3C",'Mapa final'!#REF!),"")</f>
        <v>#REF!</v>
      </c>
      <c r="O38" s="78" t="e">
        <f>IF(AND('Mapa final'!#REF!="Baja",'Mapa final'!#REF!="Leve"),CONCATENATE("R3C",'Mapa final'!#REF!),"")</f>
        <v>#REF!</v>
      </c>
      <c r="P38" s="67" t="str">
        <f>IF(AND('Mapa final'!$Z$16="Baja",'Mapa final'!$AB$16="Menor"),CONCATENATE("R3C",'Mapa final'!$P$16),"")</f>
        <v/>
      </c>
      <c r="Q38" s="68" t="str">
        <f>IF(AND('Mapa final'!$Z$17="Baja",'Mapa final'!$AB$17="Menor"),CONCATENATE("R3C",'Mapa final'!$P$17),"")</f>
        <v/>
      </c>
      <c r="R38" s="68" t="str">
        <f>IF(AND('Mapa final'!$Z$18="Baja",'Mapa final'!$AB$18="Menor"),CONCATENATE("R3C",'Mapa final'!$P$18),"")</f>
        <v/>
      </c>
      <c r="S38" s="68" t="e">
        <f>IF(AND('Mapa final'!#REF!="Baja",'Mapa final'!#REF!="Menor"),CONCATENATE("R3C",'Mapa final'!#REF!),"")</f>
        <v>#REF!</v>
      </c>
      <c r="T38" s="68" t="e">
        <f>IF(AND('Mapa final'!#REF!="Baja",'Mapa final'!#REF!="Menor"),CONCATENATE("R3C",'Mapa final'!#REF!),"")</f>
        <v>#REF!</v>
      </c>
      <c r="U38" s="69" t="e">
        <f>IF(AND('Mapa final'!#REF!="Baja",'Mapa final'!#REF!="Menor"),CONCATENATE("R3C",'Mapa final'!#REF!),"")</f>
        <v>#REF!</v>
      </c>
      <c r="V38" s="67" t="str">
        <f>IF(AND('Mapa final'!$Z$16="Baja",'Mapa final'!$AB$16="Moderado"),CONCATENATE("R3C",'Mapa final'!$P$16),"")</f>
        <v/>
      </c>
      <c r="W38" s="68" t="str">
        <f>IF(AND('Mapa final'!$Z$17="Baja",'Mapa final'!$AB$17="Moderado"),CONCATENATE("R3C",'Mapa final'!$P$17),"")</f>
        <v/>
      </c>
      <c r="X38" s="68" t="str">
        <f>IF(AND('Mapa final'!$Z$18="Baja",'Mapa final'!$AB$18="Moderado"),CONCATENATE("R3C",'Mapa final'!$P$18),"")</f>
        <v/>
      </c>
      <c r="Y38" s="68" t="e">
        <f>IF(AND('Mapa final'!#REF!="Baja",'Mapa final'!#REF!="Moderado"),CONCATENATE("R3C",'Mapa final'!#REF!),"")</f>
        <v>#REF!</v>
      </c>
      <c r="Z38" s="68" t="e">
        <f>IF(AND('Mapa final'!#REF!="Baja",'Mapa final'!#REF!="Moderado"),CONCATENATE("R3C",'Mapa final'!#REF!),"")</f>
        <v>#REF!</v>
      </c>
      <c r="AA38" s="69" t="e">
        <f>IF(AND('Mapa final'!#REF!="Baja",'Mapa final'!#REF!="Moderado"),CONCATENATE("R3C",'Mapa final'!#REF!),"")</f>
        <v>#REF!</v>
      </c>
      <c r="AB38" s="52" t="str">
        <f>IF(AND('Mapa final'!$Z$16="Baja",'Mapa final'!$AB$16="Mayor"),CONCATENATE("R3C",'Mapa final'!$P$16),"")</f>
        <v/>
      </c>
      <c r="AC38" s="53" t="str">
        <f>IF(AND('Mapa final'!$Z$17="Baja",'Mapa final'!$AB$17="Mayor"),CONCATENATE("R3C",'Mapa final'!$P$17),"")</f>
        <v/>
      </c>
      <c r="AD38" s="53" t="str">
        <f>IF(AND('Mapa final'!$Z$18="Baja",'Mapa final'!$AB$18="Mayor"),CONCATENATE("R3C",'Mapa final'!$P$18),"")</f>
        <v/>
      </c>
      <c r="AE38" s="53" t="e">
        <f>IF(AND('Mapa final'!#REF!="Baja",'Mapa final'!#REF!="Mayor"),CONCATENATE("R3C",'Mapa final'!#REF!),"")</f>
        <v>#REF!</v>
      </c>
      <c r="AF38" s="53" t="e">
        <f>IF(AND('Mapa final'!#REF!="Baja",'Mapa final'!#REF!="Mayor"),CONCATENATE("R3C",'Mapa final'!#REF!),"")</f>
        <v>#REF!</v>
      </c>
      <c r="AG38" s="54" t="e">
        <f>IF(AND('Mapa final'!#REF!="Baja",'Mapa final'!#REF!="Mayor"),CONCATENATE("R3C",'Mapa final'!#REF!),"")</f>
        <v>#REF!</v>
      </c>
      <c r="AH38" s="55" t="str">
        <f>IF(AND('Mapa final'!$Z$16="Baja",'Mapa final'!$AB$16="Catastrófico"),CONCATENATE("R3C",'Mapa final'!$P$16),"")</f>
        <v/>
      </c>
      <c r="AI38" s="56" t="str">
        <f>IF(AND('Mapa final'!$Z$17="Baja",'Mapa final'!$AB$17="Catastrófico"),CONCATENATE("R3C",'Mapa final'!$P$17),"")</f>
        <v/>
      </c>
      <c r="AJ38" s="56" t="str">
        <f>IF(AND('Mapa final'!$Z$18="Baja",'Mapa final'!$AB$18="Catastrófico"),CONCATENATE("R3C",'Mapa final'!$P$18),"")</f>
        <v/>
      </c>
      <c r="AK38" s="56" t="e">
        <f>IF(AND('Mapa final'!#REF!="Baja",'Mapa final'!#REF!="Catastrófico"),CONCATENATE("R3C",'Mapa final'!#REF!),"")</f>
        <v>#REF!</v>
      </c>
      <c r="AL38" s="56" t="e">
        <f>IF(AND('Mapa final'!#REF!="Baja",'Mapa final'!#REF!="Catastrófico"),CONCATENATE("R3C",'Mapa final'!#REF!),"")</f>
        <v>#REF!</v>
      </c>
      <c r="AM38" s="57" t="e">
        <f>IF(AND('Mapa final'!#REF!="Baja",'Mapa final'!#REF!="Catastrófico"),CONCATENATE("R3C",'Mapa final'!#REF!),"")</f>
        <v>#REF!</v>
      </c>
      <c r="AN38" s="83"/>
      <c r="AO38" s="355"/>
      <c r="AP38" s="356"/>
      <c r="AQ38" s="356"/>
      <c r="AR38" s="356"/>
      <c r="AS38" s="356"/>
      <c r="AT38" s="357"/>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236"/>
      <c r="C39" s="236"/>
      <c r="D39" s="237"/>
      <c r="E39" s="335"/>
      <c r="F39" s="334"/>
      <c r="G39" s="334"/>
      <c r="H39" s="334"/>
      <c r="I39" s="334"/>
      <c r="J39" s="76" t="str">
        <f>IF(AND('Mapa final'!$Z$19="Baja",'Mapa final'!$AB$19="Leve"),CONCATENATE("R4C",'Mapa final'!$P$19),"")</f>
        <v/>
      </c>
      <c r="K39" s="77" t="str">
        <f>IF(AND('Mapa final'!$Z$20="Baja",'Mapa final'!$AB$20="Leve"),CONCATENATE("R4C",'Mapa final'!$P$20),"")</f>
        <v/>
      </c>
      <c r="L39" s="77" t="str">
        <f>IF(AND('Mapa final'!$Z$21="Baja",'Mapa final'!$AB$21="Leve"),CONCATENATE("R4C",'Mapa final'!$P$21),"")</f>
        <v/>
      </c>
      <c r="M39" s="77" t="e">
        <f>IF(AND('Mapa final'!#REF!="Baja",'Mapa final'!#REF!="Leve"),CONCATENATE("R4C",'Mapa final'!#REF!),"")</f>
        <v>#REF!</v>
      </c>
      <c r="N39" s="77" t="e">
        <f>IF(AND('Mapa final'!#REF!="Baja",'Mapa final'!#REF!="Leve"),CONCATENATE("R4C",'Mapa final'!#REF!),"")</f>
        <v>#REF!</v>
      </c>
      <c r="O39" s="78" t="e">
        <f>IF(AND('Mapa final'!#REF!="Baja",'Mapa final'!#REF!="Leve"),CONCATENATE("R4C",'Mapa final'!#REF!),"")</f>
        <v>#REF!</v>
      </c>
      <c r="P39" s="67" t="str">
        <f>IF(AND('Mapa final'!$Z$19="Baja",'Mapa final'!$AB$19="Menor"),CONCATENATE("R4C",'Mapa final'!$P$19),"")</f>
        <v/>
      </c>
      <c r="Q39" s="68" t="str">
        <f>IF(AND('Mapa final'!$Z$20="Baja",'Mapa final'!$AB$20="Menor"),CONCATENATE("R4C",'Mapa final'!$P$20),"")</f>
        <v/>
      </c>
      <c r="R39" s="68" t="str">
        <f>IF(AND('Mapa final'!$Z$21="Baja",'Mapa final'!$AB$21="Menor"),CONCATENATE("R4C",'Mapa final'!$P$21),"")</f>
        <v/>
      </c>
      <c r="S39" s="68" t="e">
        <f>IF(AND('Mapa final'!#REF!="Baja",'Mapa final'!#REF!="Menor"),CONCATENATE("R4C",'Mapa final'!#REF!),"")</f>
        <v>#REF!</v>
      </c>
      <c r="T39" s="68" t="e">
        <f>IF(AND('Mapa final'!#REF!="Baja",'Mapa final'!#REF!="Menor"),CONCATENATE("R4C",'Mapa final'!#REF!),"")</f>
        <v>#REF!</v>
      </c>
      <c r="U39" s="69" t="e">
        <f>IF(AND('Mapa final'!#REF!="Baja",'Mapa final'!#REF!="Menor"),CONCATENATE("R4C",'Mapa final'!#REF!),"")</f>
        <v>#REF!</v>
      </c>
      <c r="V39" s="67" t="str">
        <f>IF(AND('Mapa final'!$Z$19="Baja",'Mapa final'!$AB$19="Moderado"),CONCATENATE("R4C",'Mapa final'!$P$19),"")</f>
        <v>R4C1</v>
      </c>
      <c r="W39" s="68" t="str">
        <f>IF(AND('Mapa final'!$Z$20="Baja",'Mapa final'!$AB$20="Moderado"),CONCATENATE("R4C",'Mapa final'!$P$20),"")</f>
        <v/>
      </c>
      <c r="X39" s="68" t="str">
        <f>IF(AND('Mapa final'!$Z$21="Baja",'Mapa final'!$AB$21="Moderado"),CONCATENATE("R4C",'Mapa final'!$P$21),"")</f>
        <v/>
      </c>
      <c r="Y39" s="68" t="e">
        <f>IF(AND('Mapa final'!#REF!="Baja",'Mapa final'!#REF!="Moderado"),CONCATENATE("R4C",'Mapa final'!#REF!),"")</f>
        <v>#REF!</v>
      </c>
      <c r="Z39" s="68" t="e">
        <f>IF(AND('Mapa final'!#REF!="Baja",'Mapa final'!#REF!="Moderado"),CONCATENATE("R4C",'Mapa final'!#REF!),"")</f>
        <v>#REF!</v>
      </c>
      <c r="AA39" s="69" t="e">
        <f>IF(AND('Mapa final'!#REF!="Baja",'Mapa final'!#REF!="Moderado"),CONCATENATE("R4C",'Mapa final'!#REF!),"")</f>
        <v>#REF!</v>
      </c>
      <c r="AB39" s="52" t="str">
        <f>IF(AND('Mapa final'!$Z$19="Baja",'Mapa final'!$AB$19="Mayor"),CONCATENATE("R4C",'Mapa final'!$P$19),"")</f>
        <v/>
      </c>
      <c r="AC39" s="53" t="str">
        <f>IF(AND('Mapa final'!$Z$20="Baja",'Mapa final'!$AB$20="Mayor"),CONCATENATE("R4C",'Mapa final'!$P$20),"")</f>
        <v/>
      </c>
      <c r="AD39" s="53" t="str">
        <f>IF(AND('Mapa final'!$Z$21="Baja",'Mapa final'!$AB$21="Mayor"),CONCATENATE("R4C",'Mapa final'!$P$21),"")</f>
        <v/>
      </c>
      <c r="AE39" s="53" t="e">
        <f>IF(AND('Mapa final'!#REF!="Baja",'Mapa final'!#REF!="Mayor"),CONCATENATE("R4C",'Mapa final'!#REF!),"")</f>
        <v>#REF!</v>
      </c>
      <c r="AF39" s="53" t="e">
        <f>IF(AND('Mapa final'!#REF!="Baja",'Mapa final'!#REF!="Mayor"),CONCATENATE("R4C",'Mapa final'!#REF!),"")</f>
        <v>#REF!</v>
      </c>
      <c r="AG39" s="54" t="e">
        <f>IF(AND('Mapa final'!#REF!="Baja",'Mapa final'!#REF!="Mayor"),CONCATENATE("R4C",'Mapa final'!#REF!),"")</f>
        <v>#REF!</v>
      </c>
      <c r="AH39" s="55" t="str">
        <f>IF(AND('Mapa final'!$Z$19="Baja",'Mapa final'!$AB$19="Catastrófico"),CONCATENATE("R4C",'Mapa final'!$P$19),"")</f>
        <v/>
      </c>
      <c r="AI39" s="56" t="str">
        <f>IF(AND('Mapa final'!$Z$20="Baja",'Mapa final'!$AB$20="Catastrófico"),CONCATENATE("R4C",'Mapa final'!$P$20),"")</f>
        <v/>
      </c>
      <c r="AJ39" s="56" t="str">
        <f>IF(AND('Mapa final'!$Z$21="Baja",'Mapa final'!$AB$21="Catastrófico"),CONCATENATE("R4C",'Mapa final'!$P$21),"")</f>
        <v/>
      </c>
      <c r="AK39" s="56" t="e">
        <f>IF(AND('Mapa final'!#REF!="Baja",'Mapa final'!#REF!="Catastrófico"),CONCATENATE("R4C",'Mapa final'!#REF!),"")</f>
        <v>#REF!</v>
      </c>
      <c r="AL39" s="56" t="e">
        <f>IF(AND('Mapa final'!#REF!="Baja",'Mapa final'!#REF!="Catastrófico"),CONCATENATE("R4C",'Mapa final'!#REF!),"")</f>
        <v>#REF!</v>
      </c>
      <c r="AM39" s="57" t="e">
        <f>IF(AND('Mapa final'!#REF!="Baja",'Mapa final'!#REF!="Catastrófico"),CONCATENATE("R4C",'Mapa final'!#REF!),"")</f>
        <v>#REF!</v>
      </c>
      <c r="AN39" s="83"/>
      <c r="AO39" s="355"/>
      <c r="AP39" s="356"/>
      <c r="AQ39" s="356"/>
      <c r="AR39" s="356"/>
      <c r="AS39" s="356"/>
      <c r="AT39" s="357"/>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236"/>
      <c r="C40" s="236"/>
      <c r="D40" s="237"/>
      <c r="E40" s="335"/>
      <c r="F40" s="334"/>
      <c r="G40" s="334"/>
      <c r="H40" s="334"/>
      <c r="I40" s="334"/>
      <c r="J40" s="76" t="e">
        <f>IF(AND('Mapa final'!#REF!="Baja",'Mapa final'!#REF!="Leve"),CONCATENATE("R5C",'Mapa final'!#REF!),"")</f>
        <v>#REF!</v>
      </c>
      <c r="K40" s="77" t="e">
        <f>IF(AND('Mapa final'!#REF!="Baja",'Mapa final'!#REF!="Leve"),CONCATENATE("R5C",'Mapa final'!#REF!),"")</f>
        <v>#REF!</v>
      </c>
      <c r="L40" s="77" t="e">
        <f>IF(AND('Mapa final'!#REF!="Baja",'Mapa final'!#REF!="Leve"),CONCATENATE("R5C",'Mapa final'!#REF!),"")</f>
        <v>#REF!</v>
      </c>
      <c r="M40" s="77" t="e">
        <f>IF(AND('Mapa final'!#REF!="Baja",'Mapa final'!#REF!="Leve"),CONCATENATE("R5C",'Mapa final'!#REF!),"")</f>
        <v>#REF!</v>
      </c>
      <c r="N40" s="77" t="e">
        <f>IF(AND('Mapa final'!#REF!="Baja",'Mapa final'!#REF!="Leve"),CONCATENATE("R5C",'Mapa final'!#REF!),"")</f>
        <v>#REF!</v>
      </c>
      <c r="O40" s="78" t="e">
        <f>IF(AND('Mapa final'!#REF!="Baja",'Mapa final'!#REF!="Leve"),CONCATENATE("R5C",'Mapa final'!#REF!),"")</f>
        <v>#REF!</v>
      </c>
      <c r="P40" s="67" t="e">
        <f>IF(AND('Mapa final'!#REF!="Baja",'Mapa final'!#REF!="Menor"),CONCATENATE("R5C",'Mapa final'!#REF!),"")</f>
        <v>#REF!</v>
      </c>
      <c r="Q40" s="68" t="e">
        <f>IF(AND('Mapa final'!#REF!="Baja",'Mapa final'!#REF!="Menor"),CONCATENATE("R5C",'Mapa final'!#REF!),"")</f>
        <v>#REF!</v>
      </c>
      <c r="R40" s="68" t="e">
        <f>IF(AND('Mapa final'!#REF!="Baja",'Mapa final'!#REF!="Menor"),CONCATENATE("R5C",'Mapa final'!#REF!),"")</f>
        <v>#REF!</v>
      </c>
      <c r="S40" s="68" t="e">
        <f>IF(AND('Mapa final'!#REF!="Baja",'Mapa final'!#REF!="Menor"),CONCATENATE("R5C",'Mapa final'!#REF!),"")</f>
        <v>#REF!</v>
      </c>
      <c r="T40" s="68" t="e">
        <f>IF(AND('Mapa final'!#REF!="Baja",'Mapa final'!#REF!="Menor"),CONCATENATE("R5C",'Mapa final'!#REF!),"")</f>
        <v>#REF!</v>
      </c>
      <c r="U40" s="69" t="e">
        <f>IF(AND('Mapa final'!#REF!="Baja",'Mapa final'!#REF!="Menor"),CONCATENATE("R5C",'Mapa final'!#REF!),"")</f>
        <v>#REF!</v>
      </c>
      <c r="V40" s="67" t="e">
        <f>IF(AND('Mapa final'!#REF!="Baja",'Mapa final'!#REF!="Moderado"),CONCATENATE("R5C",'Mapa final'!#REF!),"")</f>
        <v>#REF!</v>
      </c>
      <c r="W40" s="68" t="e">
        <f>IF(AND('Mapa final'!#REF!="Baja",'Mapa final'!#REF!="Moderado"),CONCATENATE("R5C",'Mapa final'!#REF!),"")</f>
        <v>#REF!</v>
      </c>
      <c r="X40" s="68" t="e">
        <f>IF(AND('Mapa final'!#REF!="Baja",'Mapa final'!#REF!="Moderado"),CONCATENATE("R5C",'Mapa final'!#REF!),"")</f>
        <v>#REF!</v>
      </c>
      <c r="Y40" s="68" t="e">
        <f>IF(AND('Mapa final'!#REF!="Baja",'Mapa final'!#REF!="Moderado"),CONCATENATE("R5C",'Mapa final'!#REF!),"")</f>
        <v>#REF!</v>
      </c>
      <c r="Z40" s="68" t="e">
        <f>IF(AND('Mapa final'!#REF!="Baja",'Mapa final'!#REF!="Moderado"),CONCATENATE("R5C",'Mapa final'!#REF!),"")</f>
        <v>#REF!</v>
      </c>
      <c r="AA40" s="69" t="e">
        <f>IF(AND('Mapa final'!#REF!="Baja",'Mapa final'!#REF!="Moderado"),CONCATENATE("R5C",'Mapa final'!#REF!),"")</f>
        <v>#REF!</v>
      </c>
      <c r="AB40" s="52" t="e">
        <f>IF(AND('Mapa final'!#REF!="Baja",'Mapa final'!#REF!="Mayor"),CONCATENATE("R5C",'Mapa final'!#REF!),"")</f>
        <v>#REF!</v>
      </c>
      <c r="AC40" s="53" t="e">
        <f>IF(AND('Mapa final'!#REF!="Baja",'Mapa final'!#REF!="Mayor"),CONCATENATE("R5C",'Mapa final'!#REF!),"")</f>
        <v>#REF!</v>
      </c>
      <c r="AD40" s="53" t="e">
        <f>IF(AND('Mapa final'!#REF!="Baja",'Mapa final'!#REF!="Mayor"),CONCATENATE("R5C",'Mapa final'!#REF!),"")</f>
        <v>#REF!</v>
      </c>
      <c r="AE40" s="53" t="e">
        <f>IF(AND('Mapa final'!#REF!="Baja",'Mapa final'!#REF!="Mayor"),CONCATENATE("R5C",'Mapa final'!#REF!),"")</f>
        <v>#REF!</v>
      </c>
      <c r="AF40" s="53" t="e">
        <f>IF(AND('Mapa final'!#REF!="Baja",'Mapa final'!#REF!="Mayor"),CONCATENATE("R5C",'Mapa final'!#REF!),"")</f>
        <v>#REF!</v>
      </c>
      <c r="AG40" s="54" t="e">
        <f>IF(AND('Mapa final'!#REF!="Baja",'Mapa final'!#REF!="Mayor"),CONCATENATE("R5C",'Mapa final'!#REF!),"")</f>
        <v>#REF!</v>
      </c>
      <c r="AH40" s="55" t="e">
        <f>IF(AND('Mapa final'!#REF!="Baja",'Mapa final'!#REF!="Catastrófico"),CONCATENATE("R5C",'Mapa final'!#REF!),"")</f>
        <v>#REF!</v>
      </c>
      <c r="AI40" s="56" t="e">
        <f>IF(AND('Mapa final'!#REF!="Baja",'Mapa final'!#REF!="Catastrófico"),CONCATENATE("R5C",'Mapa final'!#REF!),"")</f>
        <v>#REF!</v>
      </c>
      <c r="AJ40" s="56" t="e">
        <f>IF(AND('Mapa final'!#REF!="Baja",'Mapa final'!#REF!="Catastrófico"),CONCATENATE("R5C",'Mapa final'!#REF!),"")</f>
        <v>#REF!</v>
      </c>
      <c r="AK40" s="56" t="e">
        <f>IF(AND('Mapa final'!#REF!="Baja",'Mapa final'!#REF!="Catastrófico"),CONCATENATE("R5C",'Mapa final'!#REF!),"")</f>
        <v>#REF!</v>
      </c>
      <c r="AL40" s="56" t="e">
        <f>IF(AND('Mapa final'!#REF!="Baja",'Mapa final'!#REF!="Catastrófico"),CONCATENATE("R5C",'Mapa final'!#REF!),"")</f>
        <v>#REF!</v>
      </c>
      <c r="AM40" s="57" t="e">
        <f>IF(AND('Mapa final'!#REF!="Baja",'Mapa final'!#REF!="Catastrófico"),CONCATENATE("R5C",'Mapa final'!#REF!),"")</f>
        <v>#REF!</v>
      </c>
      <c r="AN40" s="83"/>
      <c r="AO40" s="355"/>
      <c r="AP40" s="356"/>
      <c r="AQ40" s="356"/>
      <c r="AR40" s="356"/>
      <c r="AS40" s="356"/>
      <c r="AT40" s="357"/>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236"/>
      <c r="C41" s="236"/>
      <c r="D41" s="237"/>
      <c r="E41" s="335"/>
      <c r="F41" s="334"/>
      <c r="G41" s="334"/>
      <c r="H41" s="334"/>
      <c r="I41" s="334"/>
      <c r="J41" s="76" t="str">
        <f>IF(AND('Mapa final'!$Z$22="Baja",'Mapa final'!$AB$22="Leve"),CONCATENATE("R6C",'Mapa final'!$P$22),"")</f>
        <v/>
      </c>
      <c r="K41" s="77" t="str">
        <f>IF(AND('Mapa final'!$Z$23="Baja",'Mapa final'!$AB$23="Leve"),CONCATENATE("R6C",'Mapa final'!$P$23),"")</f>
        <v/>
      </c>
      <c r="L41" s="77" t="str">
        <f>IF(AND('Mapa final'!$Z$24="Baja",'Mapa final'!$AB$24="Leve"),CONCATENATE("R6C",'Mapa final'!$P$24),"")</f>
        <v/>
      </c>
      <c r="M41" s="77" t="e">
        <f>IF(AND('Mapa final'!#REF!="Baja",'Mapa final'!#REF!="Leve"),CONCATENATE("R6C",'Mapa final'!#REF!),"")</f>
        <v>#REF!</v>
      </c>
      <c r="N41" s="77" t="e">
        <f>IF(AND('Mapa final'!#REF!="Baja",'Mapa final'!#REF!="Leve"),CONCATENATE("R6C",'Mapa final'!#REF!),"")</f>
        <v>#REF!</v>
      </c>
      <c r="O41" s="78" t="e">
        <f>IF(AND('Mapa final'!#REF!="Baja",'Mapa final'!#REF!="Leve"),CONCATENATE("R6C",'Mapa final'!#REF!),"")</f>
        <v>#REF!</v>
      </c>
      <c r="P41" s="67" t="str">
        <f>IF(AND('Mapa final'!$Z$22="Baja",'Mapa final'!$AB$22="Menor"),CONCATENATE("R6C",'Mapa final'!$P$22),"")</f>
        <v>R6C1</v>
      </c>
      <c r="Q41" s="68" t="str">
        <f>IF(AND('Mapa final'!$Z$23="Baja",'Mapa final'!$AB$23="Menor"),CONCATENATE("R6C",'Mapa final'!$P$23),"")</f>
        <v>R6C2</v>
      </c>
      <c r="R41" s="68" t="str">
        <f>IF(AND('Mapa final'!$Z$24="Baja",'Mapa final'!$AB$24="Menor"),CONCATENATE("R6C",'Mapa final'!$P$24),"")</f>
        <v/>
      </c>
      <c r="S41" s="68" t="e">
        <f>IF(AND('Mapa final'!#REF!="Baja",'Mapa final'!#REF!="Menor"),CONCATENATE("R6C",'Mapa final'!#REF!),"")</f>
        <v>#REF!</v>
      </c>
      <c r="T41" s="68" t="e">
        <f>IF(AND('Mapa final'!#REF!="Baja",'Mapa final'!#REF!="Menor"),CONCATENATE("R6C",'Mapa final'!#REF!),"")</f>
        <v>#REF!</v>
      </c>
      <c r="U41" s="69" t="e">
        <f>IF(AND('Mapa final'!#REF!="Baja",'Mapa final'!#REF!="Menor"),CONCATENATE("R6C",'Mapa final'!#REF!),"")</f>
        <v>#REF!</v>
      </c>
      <c r="V41" s="67" t="str">
        <f>IF(AND('Mapa final'!$Z$22="Baja",'Mapa final'!$AB$22="Moderado"),CONCATENATE("R6C",'Mapa final'!$P$22),"")</f>
        <v/>
      </c>
      <c r="W41" s="68" t="str">
        <f>IF(AND('Mapa final'!$Z$23="Baja",'Mapa final'!$AB$23="Moderado"),CONCATENATE("R6C",'Mapa final'!$P$23),"")</f>
        <v/>
      </c>
      <c r="X41" s="68" t="str">
        <f>IF(AND('Mapa final'!$Z$24="Baja",'Mapa final'!$AB$24="Moderado"),CONCATENATE("R6C",'Mapa final'!$P$24),"")</f>
        <v/>
      </c>
      <c r="Y41" s="68" t="e">
        <f>IF(AND('Mapa final'!#REF!="Baja",'Mapa final'!#REF!="Moderado"),CONCATENATE("R6C",'Mapa final'!#REF!),"")</f>
        <v>#REF!</v>
      </c>
      <c r="Z41" s="68" t="e">
        <f>IF(AND('Mapa final'!#REF!="Baja",'Mapa final'!#REF!="Moderado"),CONCATENATE("R6C",'Mapa final'!#REF!),"")</f>
        <v>#REF!</v>
      </c>
      <c r="AA41" s="69" t="e">
        <f>IF(AND('Mapa final'!#REF!="Baja",'Mapa final'!#REF!="Moderado"),CONCATENATE("R6C",'Mapa final'!#REF!),"")</f>
        <v>#REF!</v>
      </c>
      <c r="AB41" s="52" t="str">
        <f>IF(AND('Mapa final'!$Z$22="Baja",'Mapa final'!$AB$22="Mayor"),CONCATENATE("R6C",'Mapa final'!$P$22),"")</f>
        <v/>
      </c>
      <c r="AC41" s="53" t="str">
        <f>IF(AND('Mapa final'!$Z$23="Baja",'Mapa final'!$AB$23="Mayor"),CONCATENATE("R6C",'Mapa final'!$P$23),"")</f>
        <v/>
      </c>
      <c r="AD41" s="53" t="str">
        <f>IF(AND('Mapa final'!$Z$24="Baja",'Mapa final'!$AB$24="Mayor"),CONCATENATE("R6C",'Mapa final'!$P$24),"")</f>
        <v/>
      </c>
      <c r="AE41" s="53" t="e">
        <f>IF(AND('Mapa final'!#REF!="Baja",'Mapa final'!#REF!="Mayor"),CONCATENATE("R6C",'Mapa final'!#REF!),"")</f>
        <v>#REF!</v>
      </c>
      <c r="AF41" s="53" t="e">
        <f>IF(AND('Mapa final'!#REF!="Baja",'Mapa final'!#REF!="Mayor"),CONCATENATE("R6C",'Mapa final'!#REF!),"")</f>
        <v>#REF!</v>
      </c>
      <c r="AG41" s="54" t="e">
        <f>IF(AND('Mapa final'!#REF!="Baja",'Mapa final'!#REF!="Mayor"),CONCATENATE("R6C",'Mapa final'!#REF!),"")</f>
        <v>#REF!</v>
      </c>
      <c r="AH41" s="55" t="str">
        <f>IF(AND('Mapa final'!$Z$22="Baja",'Mapa final'!$AB$22="Catastrófico"),CONCATENATE("R6C",'Mapa final'!$P$22),"")</f>
        <v/>
      </c>
      <c r="AI41" s="56" t="str">
        <f>IF(AND('Mapa final'!$Z$23="Baja",'Mapa final'!$AB$23="Catastrófico"),CONCATENATE("R6C",'Mapa final'!$P$23),"")</f>
        <v/>
      </c>
      <c r="AJ41" s="56" t="str">
        <f>IF(AND('Mapa final'!$Z$24="Baja",'Mapa final'!$AB$24="Catastrófico"),CONCATENATE("R6C",'Mapa final'!$P$24),"")</f>
        <v/>
      </c>
      <c r="AK41" s="56" t="e">
        <f>IF(AND('Mapa final'!#REF!="Baja",'Mapa final'!#REF!="Catastrófico"),CONCATENATE("R6C",'Mapa final'!#REF!),"")</f>
        <v>#REF!</v>
      </c>
      <c r="AL41" s="56" t="e">
        <f>IF(AND('Mapa final'!#REF!="Baja",'Mapa final'!#REF!="Catastrófico"),CONCATENATE("R6C",'Mapa final'!#REF!),"")</f>
        <v>#REF!</v>
      </c>
      <c r="AM41" s="57" t="e">
        <f>IF(AND('Mapa final'!#REF!="Baja",'Mapa final'!#REF!="Catastrófico"),CONCATENATE("R6C",'Mapa final'!#REF!),"")</f>
        <v>#REF!</v>
      </c>
      <c r="AN41" s="83"/>
      <c r="AO41" s="355"/>
      <c r="AP41" s="356"/>
      <c r="AQ41" s="356"/>
      <c r="AR41" s="356"/>
      <c r="AS41" s="356"/>
      <c r="AT41" s="357"/>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236"/>
      <c r="C42" s="236"/>
      <c r="D42" s="237"/>
      <c r="E42" s="335"/>
      <c r="F42" s="334"/>
      <c r="G42" s="334"/>
      <c r="H42" s="334"/>
      <c r="I42" s="334"/>
      <c r="J42" s="76" t="e">
        <f>IF(AND('Mapa final'!#REF!="Baja",'Mapa final'!#REF!="Leve"),CONCATENATE("R7C",'Mapa final'!#REF!),"")</f>
        <v>#REF!</v>
      </c>
      <c r="K42" s="77" t="e">
        <f>IF(AND('Mapa final'!#REF!="Baja",'Mapa final'!#REF!="Leve"),CONCATENATE("R7C",'Mapa final'!#REF!),"")</f>
        <v>#REF!</v>
      </c>
      <c r="L42" s="77" t="e">
        <f>IF(AND('Mapa final'!#REF!="Baja",'Mapa final'!#REF!="Leve"),CONCATENATE("R7C",'Mapa final'!#REF!),"")</f>
        <v>#REF!</v>
      </c>
      <c r="M42" s="77" t="e">
        <f>IF(AND('Mapa final'!#REF!="Baja",'Mapa final'!#REF!="Leve"),CONCATENATE("R7C",'Mapa final'!#REF!),"")</f>
        <v>#REF!</v>
      </c>
      <c r="N42" s="77" t="e">
        <f>IF(AND('Mapa final'!#REF!="Baja",'Mapa final'!#REF!="Leve"),CONCATENATE("R7C",'Mapa final'!#REF!),"")</f>
        <v>#REF!</v>
      </c>
      <c r="O42" s="78" t="e">
        <f>IF(AND('Mapa final'!#REF!="Baja",'Mapa final'!#REF!="Leve"),CONCATENATE("R7C",'Mapa final'!#REF!),"")</f>
        <v>#REF!</v>
      </c>
      <c r="P42" s="67" t="e">
        <f>IF(AND('Mapa final'!#REF!="Baja",'Mapa final'!#REF!="Menor"),CONCATENATE("R7C",'Mapa final'!#REF!),"")</f>
        <v>#REF!</v>
      </c>
      <c r="Q42" s="68" t="e">
        <f>IF(AND('Mapa final'!#REF!="Baja",'Mapa final'!#REF!="Menor"),CONCATENATE("R7C",'Mapa final'!#REF!),"")</f>
        <v>#REF!</v>
      </c>
      <c r="R42" s="68" t="e">
        <f>IF(AND('Mapa final'!#REF!="Baja",'Mapa final'!#REF!="Menor"),CONCATENATE("R7C",'Mapa final'!#REF!),"")</f>
        <v>#REF!</v>
      </c>
      <c r="S42" s="68" t="e">
        <f>IF(AND('Mapa final'!#REF!="Baja",'Mapa final'!#REF!="Menor"),CONCATENATE("R7C",'Mapa final'!#REF!),"")</f>
        <v>#REF!</v>
      </c>
      <c r="T42" s="68" t="e">
        <f>IF(AND('Mapa final'!#REF!="Baja",'Mapa final'!#REF!="Menor"),CONCATENATE("R7C",'Mapa final'!#REF!),"")</f>
        <v>#REF!</v>
      </c>
      <c r="U42" s="69" t="e">
        <f>IF(AND('Mapa final'!#REF!="Baja",'Mapa final'!#REF!="Menor"),CONCATENATE("R7C",'Mapa final'!#REF!),"")</f>
        <v>#REF!</v>
      </c>
      <c r="V42" s="67" t="e">
        <f>IF(AND('Mapa final'!#REF!="Baja",'Mapa final'!#REF!="Moderado"),CONCATENATE("R7C",'Mapa final'!#REF!),"")</f>
        <v>#REF!</v>
      </c>
      <c r="W42" s="68" t="e">
        <f>IF(AND('Mapa final'!#REF!="Baja",'Mapa final'!#REF!="Moderado"),CONCATENATE("R7C",'Mapa final'!#REF!),"")</f>
        <v>#REF!</v>
      </c>
      <c r="X42" s="68" t="e">
        <f>IF(AND('Mapa final'!#REF!="Baja",'Mapa final'!#REF!="Moderado"),CONCATENATE("R7C",'Mapa final'!#REF!),"")</f>
        <v>#REF!</v>
      </c>
      <c r="Y42" s="68" t="e">
        <f>IF(AND('Mapa final'!#REF!="Baja",'Mapa final'!#REF!="Moderado"),CONCATENATE("R7C",'Mapa final'!#REF!),"")</f>
        <v>#REF!</v>
      </c>
      <c r="Z42" s="68" t="e">
        <f>IF(AND('Mapa final'!#REF!="Baja",'Mapa final'!#REF!="Moderado"),CONCATENATE("R7C",'Mapa final'!#REF!),"")</f>
        <v>#REF!</v>
      </c>
      <c r="AA42" s="69" t="e">
        <f>IF(AND('Mapa final'!#REF!="Baja",'Mapa final'!#REF!="Moderado"),CONCATENATE("R7C",'Mapa final'!#REF!),"")</f>
        <v>#REF!</v>
      </c>
      <c r="AB42" s="52" t="e">
        <f>IF(AND('Mapa final'!#REF!="Baja",'Mapa final'!#REF!="Mayor"),CONCATENATE("R7C",'Mapa final'!#REF!),"")</f>
        <v>#REF!</v>
      </c>
      <c r="AC42" s="53" t="e">
        <f>IF(AND('Mapa final'!#REF!="Baja",'Mapa final'!#REF!="Mayor"),CONCATENATE("R7C",'Mapa final'!#REF!),"")</f>
        <v>#REF!</v>
      </c>
      <c r="AD42" s="53" t="e">
        <f>IF(AND('Mapa final'!#REF!="Baja",'Mapa final'!#REF!="Mayor"),CONCATENATE("R7C",'Mapa final'!#REF!),"")</f>
        <v>#REF!</v>
      </c>
      <c r="AE42" s="53" t="e">
        <f>IF(AND('Mapa final'!#REF!="Baja",'Mapa final'!#REF!="Mayor"),CONCATENATE("R7C",'Mapa final'!#REF!),"")</f>
        <v>#REF!</v>
      </c>
      <c r="AF42" s="53" t="e">
        <f>IF(AND('Mapa final'!#REF!="Baja",'Mapa final'!#REF!="Mayor"),CONCATENATE("R7C",'Mapa final'!#REF!),"")</f>
        <v>#REF!</v>
      </c>
      <c r="AG42" s="54" t="e">
        <f>IF(AND('Mapa final'!#REF!="Baja",'Mapa final'!#REF!="Mayor"),CONCATENATE("R7C",'Mapa final'!#REF!),"")</f>
        <v>#REF!</v>
      </c>
      <c r="AH42" s="55" t="e">
        <f>IF(AND('Mapa final'!#REF!="Baja",'Mapa final'!#REF!="Catastrófico"),CONCATENATE("R7C",'Mapa final'!#REF!),"")</f>
        <v>#REF!</v>
      </c>
      <c r="AI42" s="56" t="e">
        <f>IF(AND('Mapa final'!#REF!="Baja",'Mapa final'!#REF!="Catastrófico"),CONCATENATE("R7C",'Mapa final'!#REF!),"")</f>
        <v>#REF!</v>
      </c>
      <c r="AJ42" s="56" t="e">
        <f>IF(AND('Mapa final'!#REF!="Baja",'Mapa final'!#REF!="Catastrófico"),CONCATENATE("R7C",'Mapa final'!#REF!),"")</f>
        <v>#REF!</v>
      </c>
      <c r="AK42" s="56" t="e">
        <f>IF(AND('Mapa final'!#REF!="Baja",'Mapa final'!#REF!="Catastrófico"),CONCATENATE("R7C",'Mapa final'!#REF!),"")</f>
        <v>#REF!</v>
      </c>
      <c r="AL42" s="56" t="e">
        <f>IF(AND('Mapa final'!#REF!="Baja",'Mapa final'!#REF!="Catastrófico"),CONCATENATE("R7C",'Mapa final'!#REF!),"")</f>
        <v>#REF!</v>
      </c>
      <c r="AM42" s="57" t="e">
        <f>IF(AND('Mapa final'!#REF!="Baja",'Mapa final'!#REF!="Catastrófico"),CONCATENATE("R7C",'Mapa final'!#REF!),"")</f>
        <v>#REF!</v>
      </c>
      <c r="AN42" s="83"/>
      <c r="AO42" s="355"/>
      <c r="AP42" s="356"/>
      <c r="AQ42" s="356"/>
      <c r="AR42" s="356"/>
      <c r="AS42" s="356"/>
      <c r="AT42" s="357"/>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236"/>
      <c r="C43" s="236"/>
      <c r="D43" s="237"/>
      <c r="E43" s="335"/>
      <c r="F43" s="334"/>
      <c r="G43" s="334"/>
      <c r="H43" s="334"/>
      <c r="I43" s="334"/>
      <c r="J43" s="76" t="e">
        <f>IF(AND('Mapa final'!#REF!="Baja",'Mapa final'!#REF!="Leve"),CONCATENATE("R8C",'Mapa final'!#REF!),"")</f>
        <v>#REF!</v>
      </c>
      <c r="K43" s="77" t="e">
        <f>IF(AND('Mapa final'!#REF!="Baja",'Mapa final'!#REF!="Leve"),CONCATENATE("R8C",'Mapa final'!#REF!),"")</f>
        <v>#REF!</v>
      </c>
      <c r="L43" s="77" t="e">
        <f>IF(AND('Mapa final'!#REF!="Baja",'Mapa final'!#REF!="Leve"),CONCATENATE("R8C",'Mapa final'!#REF!),"")</f>
        <v>#REF!</v>
      </c>
      <c r="M43" s="77" t="e">
        <f>IF(AND('Mapa final'!#REF!="Baja",'Mapa final'!#REF!="Leve"),CONCATENATE("R8C",'Mapa final'!#REF!),"")</f>
        <v>#REF!</v>
      </c>
      <c r="N43" s="77" t="e">
        <f>IF(AND('Mapa final'!#REF!="Baja",'Mapa final'!#REF!="Leve"),CONCATENATE("R8C",'Mapa final'!#REF!),"")</f>
        <v>#REF!</v>
      </c>
      <c r="O43" s="78" t="e">
        <f>IF(AND('Mapa final'!#REF!="Baja",'Mapa final'!#REF!="Leve"),CONCATENATE("R8C",'Mapa final'!#REF!),"")</f>
        <v>#REF!</v>
      </c>
      <c r="P43" s="67" t="e">
        <f>IF(AND('Mapa final'!#REF!="Baja",'Mapa final'!#REF!="Menor"),CONCATENATE("R8C",'Mapa final'!#REF!),"")</f>
        <v>#REF!</v>
      </c>
      <c r="Q43" s="68" t="e">
        <f>IF(AND('Mapa final'!#REF!="Baja",'Mapa final'!#REF!="Menor"),CONCATENATE("R8C",'Mapa final'!#REF!),"")</f>
        <v>#REF!</v>
      </c>
      <c r="R43" s="68" t="e">
        <f>IF(AND('Mapa final'!#REF!="Baja",'Mapa final'!#REF!="Menor"),CONCATENATE("R8C",'Mapa final'!#REF!),"")</f>
        <v>#REF!</v>
      </c>
      <c r="S43" s="68" t="e">
        <f>IF(AND('Mapa final'!#REF!="Baja",'Mapa final'!#REF!="Menor"),CONCATENATE("R8C",'Mapa final'!#REF!),"")</f>
        <v>#REF!</v>
      </c>
      <c r="T43" s="68" t="e">
        <f>IF(AND('Mapa final'!#REF!="Baja",'Mapa final'!#REF!="Menor"),CONCATENATE("R8C",'Mapa final'!#REF!),"")</f>
        <v>#REF!</v>
      </c>
      <c r="U43" s="69" t="e">
        <f>IF(AND('Mapa final'!#REF!="Baja",'Mapa final'!#REF!="Menor"),CONCATENATE("R8C",'Mapa final'!#REF!),"")</f>
        <v>#REF!</v>
      </c>
      <c r="V43" s="67" t="e">
        <f>IF(AND('Mapa final'!#REF!="Baja",'Mapa final'!#REF!="Moderado"),CONCATENATE("R8C",'Mapa final'!#REF!),"")</f>
        <v>#REF!</v>
      </c>
      <c r="W43" s="68" t="e">
        <f>IF(AND('Mapa final'!#REF!="Baja",'Mapa final'!#REF!="Moderado"),CONCATENATE("R8C",'Mapa final'!#REF!),"")</f>
        <v>#REF!</v>
      </c>
      <c r="X43" s="68" t="e">
        <f>IF(AND('Mapa final'!#REF!="Baja",'Mapa final'!#REF!="Moderado"),CONCATENATE("R8C",'Mapa final'!#REF!),"")</f>
        <v>#REF!</v>
      </c>
      <c r="Y43" s="68" t="e">
        <f>IF(AND('Mapa final'!#REF!="Baja",'Mapa final'!#REF!="Moderado"),CONCATENATE("R8C",'Mapa final'!#REF!),"")</f>
        <v>#REF!</v>
      </c>
      <c r="Z43" s="68" t="e">
        <f>IF(AND('Mapa final'!#REF!="Baja",'Mapa final'!#REF!="Moderado"),CONCATENATE("R8C",'Mapa final'!#REF!),"")</f>
        <v>#REF!</v>
      </c>
      <c r="AA43" s="69" t="e">
        <f>IF(AND('Mapa final'!#REF!="Baja",'Mapa final'!#REF!="Moderado"),CONCATENATE("R8C",'Mapa final'!#REF!),"")</f>
        <v>#REF!</v>
      </c>
      <c r="AB43" s="52" t="e">
        <f>IF(AND('Mapa final'!#REF!="Baja",'Mapa final'!#REF!="Mayor"),CONCATENATE("R8C",'Mapa final'!#REF!),"")</f>
        <v>#REF!</v>
      </c>
      <c r="AC43" s="53" t="e">
        <f>IF(AND('Mapa final'!#REF!="Baja",'Mapa final'!#REF!="Mayor"),CONCATENATE("R8C",'Mapa final'!#REF!),"")</f>
        <v>#REF!</v>
      </c>
      <c r="AD43" s="53" t="e">
        <f>IF(AND('Mapa final'!#REF!="Baja",'Mapa final'!#REF!="Mayor"),CONCATENATE("R8C",'Mapa final'!#REF!),"")</f>
        <v>#REF!</v>
      </c>
      <c r="AE43" s="53" t="e">
        <f>IF(AND('Mapa final'!#REF!="Baja",'Mapa final'!#REF!="Mayor"),CONCATENATE("R8C",'Mapa final'!#REF!),"")</f>
        <v>#REF!</v>
      </c>
      <c r="AF43" s="53" t="e">
        <f>IF(AND('Mapa final'!#REF!="Baja",'Mapa final'!#REF!="Mayor"),CONCATENATE("R8C",'Mapa final'!#REF!),"")</f>
        <v>#REF!</v>
      </c>
      <c r="AG43" s="54" t="e">
        <f>IF(AND('Mapa final'!#REF!="Baja",'Mapa final'!#REF!="Mayor"),CONCATENATE("R8C",'Mapa final'!#REF!),"")</f>
        <v>#REF!</v>
      </c>
      <c r="AH43" s="55" t="e">
        <f>IF(AND('Mapa final'!#REF!="Baja",'Mapa final'!#REF!="Catastrófico"),CONCATENATE("R8C",'Mapa final'!#REF!),"")</f>
        <v>#REF!</v>
      </c>
      <c r="AI43" s="56" t="e">
        <f>IF(AND('Mapa final'!#REF!="Baja",'Mapa final'!#REF!="Catastrófico"),CONCATENATE("R8C",'Mapa final'!#REF!),"")</f>
        <v>#REF!</v>
      </c>
      <c r="AJ43" s="56" t="e">
        <f>IF(AND('Mapa final'!#REF!="Baja",'Mapa final'!#REF!="Catastrófico"),CONCATENATE("R8C",'Mapa final'!#REF!),"")</f>
        <v>#REF!</v>
      </c>
      <c r="AK43" s="56" t="e">
        <f>IF(AND('Mapa final'!#REF!="Baja",'Mapa final'!#REF!="Catastrófico"),CONCATENATE("R8C",'Mapa final'!#REF!),"")</f>
        <v>#REF!</v>
      </c>
      <c r="AL43" s="56" t="e">
        <f>IF(AND('Mapa final'!#REF!="Baja",'Mapa final'!#REF!="Catastrófico"),CONCATENATE("R8C",'Mapa final'!#REF!),"")</f>
        <v>#REF!</v>
      </c>
      <c r="AM43" s="57" t="e">
        <f>IF(AND('Mapa final'!#REF!="Baja",'Mapa final'!#REF!="Catastrófico"),CONCATENATE("R8C",'Mapa final'!#REF!),"")</f>
        <v>#REF!</v>
      </c>
      <c r="AN43" s="83"/>
      <c r="AO43" s="355"/>
      <c r="AP43" s="356"/>
      <c r="AQ43" s="356"/>
      <c r="AR43" s="356"/>
      <c r="AS43" s="356"/>
      <c r="AT43" s="357"/>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236"/>
      <c r="C44" s="236"/>
      <c r="D44" s="237"/>
      <c r="E44" s="335"/>
      <c r="F44" s="334"/>
      <c r="G44" s="334"/>
      <c r="H44" s="334"/>
      <c r="I44" s="334"/>
      <c r="J44" s="76" t="str">
        <f>IF(AND('Mapa final'!$Z$25="Baja",'Mapa final'!$AB$25="Leve"),CONCATENATE("R9C",'Mapa final'!$P$25),"")</f>
        <v/>
      </c>
      <c r="K44" s="77" t="str">
        <f>IF(AND('Mapa final'!$Z$26="Baja",'Mapa final'!$AB$26="Leve"),CONCATENATE("R9C",'Mapa final'!$P$26),"")</f>
        <v/>
      </c>
      <c r="L44" s="77" t="str">
        <f>IF(AND('Mapa final'!$Z$27="Baja",'Mapa final'!$AB$27="Leve"),CONCATENATE("R9C",'Mapa final'!$P$27),"")</f>
        <v/>
      </c>
      <c r="M44" s="77" t="e">
        <f>IF(AND('Mapa final'!#REF!="Baja",'Mapa final'!#REF!="Leve"),CONCATENATE("R9C",'Mapa final'!#REF!),"")</f>
        <v>#REF!</v>
      </c>
      <c r="N44" s="77" t="e">
        <f>IF(AND('Mapa final'!#REF!="Baja",'Mapa final'!#REF!="Leve"),CONCATENATE("R9C",'Mapa final'!#REF!),"")</f>
        <v>#REF!</v>
      </c>
      <c r="O44" s="78" t="e">
        <f>IF(AND('Mapa final'!#REF!="Baja",'Mapa final'!#REF!="Leve"),CONCATENATE("R9C",'Mapa final'!#REF!),"")</f>
        <v>#REF!</v>
      </c>
      <c r="P44" s="67" t="str">
        <f>IF(AND('Mapa final'!$Z$25="Baja",'Mapa final'!$AB$25="Menor"),CONCATENATE("R9C",'Mapa final'!$P$25),"")</f>
        <v/>
      </c>
      <c r="Q44" s="68" t="str">
        <f>IF(AND('Mapa final'!$Z$26="Baja",'Mapa final'!$AB$26="Menor"),CONCATENATE("R9C",'Mapa final'!$P$26),"")</f>
        <v/>
      </c>
      <c r="R44" s="68" t="str">
        <f>IF(AND('Mapa final'!$Z$27="Baja",'Mapa final'!$AB$27="Menor"),CONCATENATE("R9C",'Mapa final'!$P$27),"")</f>
        <v/>
      </c>
      <c r="S44" s="68" t="e">
        <f>IF(AND('Mapa final'!#REF!="Baja",'Mapa final'!#REF!="Menor"),CONCATENATE("R9C",'Mapa final'!#REF!),"")</f>
        <v>#REF!</v>
      </c>
      <c r="T44" s="68" t="e">
        <f>IF(AND('Mapa final'!#REF!="Baja",'Mapa final'!#REF!="Menor"),CONCATENATE("R9C",'Mapa final'!#REF!),"")</f>
        <v>#REF!</v>
      </c>
      <c r="U44" s="69" t="e">
        <f>IF(AND('Mapa final'!#REF!="Baja",'Mapa final'!#REF!="Menor"),CONCATENATE("R9C",'Mapa final'!#REF!),"")</f>
        <v>#REF!</v>
      </c>
      <c r="V44" s="67" t="str">
        <f>IF(AND('Mapa final'!$Z$25="Baja",'Mapa final'!$AB$25="Moderado"),CONCATENATE("R9C",'Mapa final'!$P$25),"")</f>
        <v/>
      </c>
      <c r="W44" s="68" t="str">
        <f>IF(AND('Mapa final'!$Z$26="Baja",'Mapa final'!$AB$26="Moderado"),CONCATENATE("R9C",'Mapa final'!$P$26),"")</f>
        <v/>
      </c>
      <c r="X44" s="68" t="str">
        <f>IF(AND('Mapa final'!$Z$27="Baja",'Mapa final'!$AB$27="Moderado"),CONCATENATE("R9C",'Mapa final'!$P$27),"")</f>
        <v/>
      </c>
      <c r="Y44" s="68" t="e">
        <f>IF(AND('Mapa final'!#REF!="Baja",'Mapa final'!#REF!="Moderado"),CONCATENATE("R9C",'Mapa final'!#REF!),"")</f>
        <v>#REF!</v>
      </c>
      <c r="Z44" s="68" t="e">
        <f>IF(AND('Mapa final'!#REF!="Baja",'Mapa final'!#REF!="Moderado"),CONCATENATE("R9C",'Mapa final'!#REF!),"")</f>
        <v>#REF!</v>
      </c>
      <c r="AA44" s="69" t="e">
        <f>IF(AND('Mapa final'!#REF!="Baja",'Mapa final'!#REF!="Moderado"),CONCATENATE("R9C",'Mapa final'!#REF!),"")</f>
        <v>#REF!</v>
      </c>
      <c r="AB44" s="52" t="str">
        <f>IF(AND('Mapa final'!$Z$25="Baja",'Mapa final'!$AB$25="Mayor"),CONCATENATE("R9C",'Mapa final'!$P$25),"")</f>
        <v/>
      </c>
      <c r="AC44" s="53" t="str">
        <f>IF(AND('Mapa final'!$Z$26="Baja",'Mapa final'!$AB$26="Mayor"),CONCATENATE("R9C",'Mapa final'!$P$26),"")</f>
        <v/>
      </c>
      <c r="AD44" s="53" t="str">
        <f>IF(AND('Mapa final'!$Z$27="Baja",'Mapa final'!$AB$27="Mayor"),CONCATENATE("R9C",'Mapa final'!$P$27),"")</f>
        <v/>
      </c>
      <c r="AE44" s="53" t="e">
        <f>IF(AND('Mapa final'!#REF!="Baja",'Mapa final'!#REF!="Mayor"),CONCATENATE("R9C",'Mapa final'!#REF!),"")</f>
        <v>#REF!</v>
      </c>
      <c r="AF44" s="53" t="e">
        <f>IF(AND('Mapa final'!#REF!="Baja",'Mapa final'!#REF!="Mayor"),CONCATENATE("R9C",'Mapa final'!#REF!),"")</f>
        <v>#REF!</v>
      </c>
      <c r="AG44" s="54" t="e">
        <f>IF(AND('Mapa final'!#REF!="Baja",'Mapa final'!#REF!="Mayor"),CONCATENATE("R9C",'Mapa final'!#REF!),"")</f>
        <v>#REF!</v>
      </c>
      <c r="AH44" s="55" t="str">
        <f>IF(AND('Mapa final'!$Z$25="Baja",'Mapa final'!$AB$25="Catastrófico"),CONCATENATE("R9C",'Mapa final'!$P$25),"")</f>
        <v/>
      </c>
      <c r="AI44" s="56" t="str">
        <f>IF(AND('Mapa final'!$Z$26="Baja",'Mapa final'!$AB$26="Catastrófico"),CONCATENATE("R9C",'Mapa final'!$P$26),"")</f>
        <v/>
      </c>
      <c r="AJ44" s="56" t="str">
        <f>IF(AND('Mapa final'!$Z$27="Baja",'Mapa final'!$AB$27="Catastrófico"),CONCATENATE("R9C",'Mapa final'!$P$27),"")</f>
        <v/>
      </c>
      <c r="AK44" s="56" t="e">
        <f>IF(AND('Mapa final'!#REF!="Baja",'Mapa final'!#REF!="Catastrófico"),CONCATENATE("R9C",'Mapa final'!#REF!),"")</f>
        <v>#REF!</v>
      </c>
      <c r="AL44" s="56" t="e">
        <f>IF(AND('Mapa final'!#REF!="Baja",'Mapa final'!#REF!="Catastrófico"),CONCATENATE("R9C",'Mapa final'!#REF!),"")</f>
        <v>#REF!</v>
      </c>
      <c r="AM44" s="57" t="e">
        <f>IF(AND('Mapa final'!#REF!="Baja",'Mapa final'!#REF!="Catastrófico"),CONCATENATE("R9C",'Mapa final'!#REF!),"")</f>
        <v>#REF!</v>
      </c>
      <c r="AN44" s="83"/>
      <c r="AO44" s="355"/>
      <c r="AP44" s="356"/>
      <c r="AQ44" s="356"/>
      <c r="AR44" s="356"/>
      <c r="AS44" s="356"/>
      <c r="AT44" s="357"/>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236"/>
      <c r="C45" s="236"/>
      <c r="D45" s="237"/>
      <c r="E45" s="336"/>
      <c r="F45" s="337"/>
      <c r="G45" s="337"/>
      <c r="H45" s="337"/>
      <c r="I45" s="337"/>
      <c r="J45" s="79" t="str">
        <f>IF(AND('Mapa final'!$Z$28="Baja",'Mapa final'!$AB$28="Leve"),CONCATENATE("R10C",'Mapa final'!$P$28),"")</f>
        <v/>
      </c>
      <c r="K45" s="80" t="str">
        <f>IF(AND('Mapa final'!$Z$29="Baja",'Mapa final'!$AB$29="Leve"),CONCATENATE("R10C",'Mapa final'!$P$29),"")</f>
        <v/>
      </c>
      <c r="L45" s="80" t="str">
        <f>IF(AND('Mapa final'!$Z$30="Baja",'Mapa final'!$AB$30="Leve"),CONCATENATE("R10C",'Mapa final'!$P$30),"")</f>
        <v/>
      </c>
      <c r="M45" s="80" t="e">
        <f>IF(AND('Mapa final'!#REF!="Baja",'Mapa final'!#REF!="Leve"),CONCATENATE("R10C",'Mapa final'!#REF!),"")</f>
        <v>#REF!</v>
      </c>
      <c r="N45" s="80" t="e">
        <f>IF(AND('Mapa final'!#REF!="Baja",'Mapa final'!#REF!="Leve"),CONCATENATE("R10C",'Mapa final'!#REF!),"")</f>
        <v>#REF!</v>
      </c>
      <c r="O45" s="81" t="e">
        <f>IF(AND('Mapa final'!#REF!="Baja",'Mapa final'!#REF!="Leve"),CONCATENATE("R10C",'Mapa final'!#REF!),"")</f>
        <v>#REF!</v>
      </c>
      <c r="P45" s="67" t="str">
        <f>IF(AND('Mapa final'!$Z$28="Baja",'Mapa final'!$AB$28="Menor"),CONCATENATE("R10C",'Mapa final'!$P$28),"")</f>
        <v/>
      </c>
      <c r="Q45" s="68" t="str">
        <f>IF(AND('Mapa final'!$Z$29="Baja",'Mapa final'!$AB$29="Menor"),CONCATENATE("R10C",'Mapa final'!$P$29),"")</f>
        <v/>
      </c>
      <c r="R45" s="68" t="str">
        <f>IF(AND('Mapa final'!$Z$30="Baja",'Mapa final'!$AB$30="Menor"),CONCATENATE("R10C",'Mapa final'!$P$30),"")</f>
        <v/>
      </c>
      <c r="S45" s="68" t="e">
        <f>IF(AND('Mapa final'!#REF!="Baja",'Mapa final'!#REF!="Menor"),CONCATENATE("R10C",'Mapa final'!#REF!),"")</f>
        <v>#REF!</v>
      </c>
      <c r="T45" s="68" t="e">
        <f>IF(AND('Mapa final'!#REF!="Baja",'Mapa final'!#REF!="Menor"),CONCATENATE("R10C",'Mapa final'!#REF!),"")</f>
        <v>#REF!</v>
      </c>
      <c r="U45" s="69" t="e">
        <f>IF(AND('Mapa final'!#REF!="Baja",'Mapa final'!#REF!="Menor"),CONCATENATE("R10C",'Mapa final'!#REF!),"")</f>
        <v>#REF!</v>
      </c>
      <c r="V45" s="70" t="str">
        <f>IF(AND('Mapa final'!$Z$28="Baja",'Mapa final'!$AB$28="Moderado"),CONCATENATE("R10C",'Mapa final'!$P$28),"")</f>
        <v/>
      </c>
      <c r="W45" s="71" t="str">
        <f>IF(AND('Mapa final'!$Z$29="Baja",'Mapa final'!$AB$29="Moderado"),CONCATENATE("R10C",'Mapa final'!$P$29),"")</f>
        <v/>
      </c>
      <c r="X45" s="71" t="str">
        <f>IF(AND('Mapa final'!$Z$30="Baja",'Mapa final'!$AB$30="Moderado"),CONCATENATE("R10C",'Mapa final'!$P$30),"")</f>
        <v/>
      </c>
      <c r="Y45" s="71" t="e">
        <f>IF(AND('Mapa final'!#REF!="Baja",'Mapa final'!#REF!="Moderado"),CONCATENATE("R10C",'Mapa final'!#REF!),"")</f>
        <v>#REF!</v>
      </c>
      <c r="Z45" s="71" t="e">
        <f>IF(AND('Mapa final'!#REF!="Baja",'Mapa final'!#REF!="Moderado"),CONCATENATE("R10C",'Mapa final'!#REF!),"")</f>
        <v>#REF!</v>
      </c>
      <c r="AA45" s="72" t="e">
        <f>IF(AND('Mapa final'!#REF!="Baja",'Mapa final'!#REF!="Moderado"),CONCATENATE("R10C",'Mapa final'!#REF!),"")</f>
        <v>#REF!</v>
      </c>
      <c r="AB45" s="58" t="str">
        <f>IF(AND('Mapa final'!$Z$28="Baja",'Mapa final'!$AB$28="Mayor"),CONCATENATE("R10C",'Mapa final'!$P$28),"")</f>
        <v/>
      </c>
      <c r="AC45" s="59" t="str">
        <f>IF(AND('Mapa final'!$Z$29="Baja",'Mapa final'!$AB$29="Mayor"),CONCATENATE("R10C",'Mapa final'!$P$29),"")</f>
        <v/>
      </c>
      <c r="AD45" s="59" t="str">
        <f>IF(AND('Mapa final'!$Z$30="Baja",'Mapa final'!$AB$30="Mayor"),CONCATENATE("R10C",'Mapa final'!$P$30),"")</f>
        <v/>
      </c>
      <c r="AE45" s="59" t="e">
        <f>IF(AND('Mapa final'!#REF!="Baja",'Mapa final'!#REF!="Mayor"),CONCATENATE("R10C",'Mapa final'!#REF!),"")</f>
        <v>#REF!</v>
      </c>
      <c r="AF45" s="59" t="e">
        <f>IF(AND('Mapa final'!#REF!="Baja",'Mapa final'!#REF!="Mayor"),CONCATENATE("R10C",'Mapa final'!#REF!),"")</f>
        <v>#REF!</v>
      </c>
      <c r="AG45" s="60" t="e">
        <f>IF(AND('Mapa final'!#REF!="Baja",'Mapa final'!#REF!="Mayor"),CONCATENATE("R10C",'Mapa final'!#REF!),"")</f>
        <v>#REF!</v>
      </c>
      <c r="AH45" s="61" t="str">
        <f>IF(AND('Mapa final'!$Z$28="Baja",'Mapa final'!$AB$28="Catastrófico"),CONCATENATE("R10C",'Mapa final'!$P$28),"")</f>
        <v/>
      </c>
      <c r="AI45" s="62" t="str">
        <f>IF(AND('Mapa final'!$Z$29="Baja",'Mapa final'!$AB$29="Catastrófico"),CONCATENATE("R10C",'Mapa final'!$P$29),"")</f>
        <v/>
      </c>
      <c r="AJ45" s="62" t="str">
        <f>IF(AND('Mapa final'!$Z$30="Baja",'Mapa final'!$AB$30="Catastrófico"),CONCATENATE("R10C",'Mapa final'!$P$30),"")</f>
        <v/>
      </c>
      <c r="AK45" s="62" t="e">
        <f>IF(AND('Mapa final'!#REF!="Baja",'Mapa final'!#REF!="Catastrófico"),CONCATENATE("R10C",'Mapa final'!#REF!),"")</f>
        <v>#REF!</v>
      </c>
      <c r="AL45" s="62" t="e">
        <f>IF(AND('Mapa final'!#REF!="Baja",'Mapa final'!#REF!="Catastrófico"),CONCATENATE("R10C",'Mapa final'!#REF!),"")</f>
        <v>#REF!</v>
      </c>
      <c r="AM45" s="63" t="e">
        <f>IF(AND('Mapa final'!#REF!="Baja",'Mapa final'!#REF!="Catastrófico"),CONCATENATE("R10C",'Mapa final'!#REF!),"")</f>
        <v>#REF!</v>
      </c>
      <c r="AN45" s="83"/>
      <c r="AO45" s="358"/>
      <c r="AP45" s="359"/>
      <c r="AQ45" s="359"/>
      <c r="AR45" s="359"/>
      <c r="AS45" s="359"/>
      <c r="AT45" s="360"/>
    </row>
    <row r="46" spans="1:80" ht="46.5" customHeight="1" x14ac:dyDescent="0.35">
      <c r="A46" s="83"/>
      <c r="B46" s="236"/>
      <c r="C46" s="236"/>
      <c r="D46" s="237"/>
      <c r="E46" s="331" t="s">
        <v>109</v>
      </c>
      <c r="F46" s="332"/>
      <c r="G46" s="332"/>
      <c r="H46" s="332"/>
      <c r="I46" s="349"/>
      <c r="J46" s="73" t="str">
        <f>IF(AND('Mapa final'!$Z$10="Muy Baja",'Mapa final'!$AB$10="Leve"),CONCATENATE("R1C",'Mapa final'!$P$10),"")</f>
        <v/>
      </c>
      <c r="K46" s="74" t="str">
        <f>IF(AND('Mapa final'!$Z$11="Muy Baja",'Mapa final'!$AB$11="Leve"),CONCATENATE("R1C",'Mapa final'!$P$11),"")</f>
        <v/>
      </c>
      <c r="L46" s="74" t="str">
        <f>IF(AND('Mapa final'!$Z$12="Muy Baja",'Mapa final'!$AB$12="Leve"),CONCATENATE("R1C",'Mapa final'!$P$12),"")</f>
        <v/>
      </c>
      <c r="M46" s="74" t="e">
        <f>IF(AND('Mapa final'!#REF!="Muy Baja",'Mapa final'!#REF!="Leve"),CONCATENATE("R1C",'Mapa final'!#REF!),"")</f>
        <v>#REF!</v>
      </c>
      <c r="N46" s="74" t="e">
        <f>IF(AND('Mapa final'!#REF!="Muy Baja",'Mapa final'!#REF!="Leve"),CONCATENATE("R1C",'Mapa final'!#REF!),"")</f>
        <v>#REF!</v>
      </c>
      <c r="O46" s="75" t="e">
        <f>IF(AND('Mapa final'!#REF!="Muy Baja",'Mapa final'!#REF!="Leve"),CONCATENATE("R1C",'Mapa final'!#REF!),"")</f>
        <v>#REF!</v>
      </c>
      <c r="P46" s="73" t="str">
        <f>IF(AND('Mapa final'!$Z$10="Muy Baja",'Mapa final'!$AB$10="Menor"),CONCATENATE("R1C",'Mapa final'!$P$10),"")</f>
        <v>R1C1</v>
      </c>
      <c r="Q46" s="74" t="str">
        <f>IF(AND('Mapa final'!$Z$11="Muy Baja",'Mapa final'!$AB$11="Menor"),CONCATENATE("R1C",'Mapa final'!$P$11),"")</f>
        <v/>
      </c>
      <c r="R46" s="74" t="str">
        <f>IF(AND('Mapa final'!$Z$12="Muy Baja",'Mapa final'!$AB$12="Menor"),CONCATENATE("R1C",'Mapa final'!$P$12),"")</f>
        <v/>
      </c>
      <c r="S46" s="74" t="e">
        <f>IF(AND('Mapa final'!#REF!="Muy Baja",'Mapa final'!#REF!="Menor"),CONCATENATE("R1C",'Mapa final'!#REF!),"")</f>
        <v>#REF!</v>
      </c>
      <c r="T46" s="74" t="e">
        <f>IF(AND('Mapa final'!#REF!="Muy Baja",'Mapa final'!#REF!="Menor"),CONCATENATE("R1C",'Mapa final'!#REF!),"")</f>
        <v>#REF!</v>
      </c>
      <c r="U46" s="75" t="e">
        <f>IF(AND('Mapa final'!#REF!="Muy Baja",'Mapa final'!#REF!="Menor"),CONCATENATE("R1C",'Mapa final'!#REF!),"")</f>
        <v>#REF!</v>
      </c>
      <c r="V46" s="64" t="str">
        <f>IF(AND('Mapa final'!$Z$10="Muy Baja",'Mapa final'!$AB$10="Moderado"),CONCATENATE("R1C",'Mapa final'!$P$10),"")</f>
        <v/>
      </c>
      <c r="W46" s="82" t="str">
        <f>IF(AND('Mapa final'!$Z$11="Muy Baja",'Mapa final'!$AB$11="Moderado"),CONCATENATE("R1C",'Mapa final'!$P$11),"")</f>
        <v/>
      </c>
      <c r="X46" s="65" t="str">
        <f>IF(AND('Mapa final'!$Z$12="Muy Baja",'Mapa final'!$AB$12="Moderado"),CONCATENATE("R1C",'Mapa final'!$P$12),"")</f>
        <v/>
      </c>
      <c r="Y46" s="65" t="e">
        <f>IF(AND('Mapa final'!#REF!="Muy Baja",'Mapa final'!#REF!="Moderado"),CONCATENATE("R1C",'Mapa final'!#REF!),"")</f>
        <v>#REF!</v>
      </c>
      <c r="Z46" s="65" t="e">
        <f>IF(AND('Mapa final'!#REF!="Muy Baja",'Mapa final'!#REF!="Moderado"),CONCATENATE("R1C",'Mapa final'!#REF!),"")</f>
        <v>#REF!</v>
      </c>
      <c r="AA46" s="66" t="e">
        <f>IF(AND('Mapa final'!#REF!="Muy Baja",'Mapa final'!#REF!="Moderado"),CONCATENATE("R1C",'Mapa final'!#REF!),"")</f>
        <v>#REF!</v>
      </c>
      <c r="AB46" s="46" t="str">
        <f>IF(AND('Mapa final'!$Z$10="Muy Baja",'Mapa final'!$AB$10="Mayor"),CONCATENATE("R1C",'Mapa final'!$P$10),"")</f>
        <v/>
      </c>
      <c r="AC46" s="47" t="str">
        <f>IF(AND('Mapa final'!$Z$11="Muy Baja",'Mapa final'!$AB$11="Mayor"),CONCATENATE("R1C",'Mapa final'!$P$11),"")</f>
        <v/>
      </c>
      <c r="AD46" s="47" t="str">
        <f>IF(AND('Mapa final'!$Z$12="Muy Baja",'Mapa final'!$AB$12="Mayor"),CONCATENATE("R1C",'Mapa final'!$P$12),"")</f>
        <v/>
      </c>
      <c r="AE46" s="47" t="e">
        <f>IF(AND('Mapa final'!#REF!="Muy Baja",'Mapa final'!#REF!="Mayor"),CONCATENATE("R1C",'Mapa final'!#REF!),"")</f>
        <v>#REF!</v>
      </c>
      <c r="AF46" s="47" t="e">
        <f>IF(AND('Mapa final'!#REF!="Muy Baja",'Mapa final'!#REF!="Mayor"),CONCATENATE("R1C",'Mapa final'!#REF!),"")</f>
        <v>#REF!</v>
      </c>
      <c r="AG46" s="48" t="e">
        <f>IF(AND('Mapa final'!#REF!="Muy Baja",'Mapa final'!#REF!="Mayor"),CONCATENATE("R1C",'Mapa final'!#REF!),"")</f>
        <v>#REF!</v>
      </c>
      <c r="AH46" s="49" t="str">
        <f>IF(AND('Mapa final'!$Z$10="Muy Baja",'Mapa final'!$AB$10="Catastrófico"),CONCATENATE("R1C",'Mapa final'!$P$10),"")</f>
        <v/>
      </c>
      <c r="AI46" s="50" t="str">
        <f>IF(AND('Mapa final'!$Z$11="Muy Baja",'Mapa final'!$AB$11="Catastrófico"),CONCATENATE("R1C",'Mapa final'!$P$11),"")</f>
        <v/>
      </c>
      <c r="AJ46" s="50" t="str">
        <f>IF(AND('Mapa final'!$Z$12="Muy Baja",'Mapa final'!$AB$12="Catastrófico"),CONCATENATE("R1C",'Mapa final'!$P$12),"")</f>
        <v/>
      </c>
      <c r="AK46" s="50" t="e">
        <f>IF(AND('Mapa final'!#REF!="Muy Baja",'Mapa final'!#REF!="Catastrófico"),CONCATENATE("R1C",'Mapa final'!#REF!),"")</f>
        <v>#REF!</v>
      </c>
      <c r="AL46" s="50" t="e">
        <f>IF(AND('Mapa final'!#REF!="Muy Baja",'Mapa final'!#REF!="Catastrófico"),CONCATENATE("R1C",'Mapa final'!#REF!),"")</f>
        <v>#REF!</v>
      </c>
      <c r="AM46" s="51" t="e">
        <f>IF(AND('Mapa final'!#REF!="Muy Baja",'Mapa final'!#REF!="Catastrófico"),CONCATENATE("R1C",'Mapa final'!#REF!),"")</f>
        <v>#REF!</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236"/>
      <c r="C47" s="236"/>
      <c r="D47" s="237"/>
      <c r="E47" s="333"/>
      <c r="F47" s="334"/>
      <c r="G47" s="334"/>
      <c r="H47" s="334"/>
      <c r="I47" s="350"/>
      <c r="J47" s="76" t="str">
        <f>IF(AND('Mapa final'!$Z$13="Muy Baja",'Mapa final'!$AB$13="Leve"),CONCATENATE("R2C",'Mapa final'!$P$13),"")</f>
        <v/>
      </c>
      <c r="K47" s="77" t="str">
        <f>IF(AND('Mapa final'!$Z$14="Muy Baja",'Mapa final'!$AB$14="Leve"),CONCATENATE("R2C",'Mapa final'!$P$14),"")</f>
        <v/>
      </c>
      <c r="L47" s="77" t="str">
        <f>IF(AND('Mapa final'!$Z$15="Muy Baja",'Mapa final'!$AB$15="Leve"),CONCATENATE("R2C",'Mapa final'!$P$15),"")</f>
        <v/>
      </c>
      <c r="M47" s="77" t="e">
        <f>IF(AND('Mapa final'!#REF!="Muy Baja",'Mapa final'!#REF!="Leve"),CONCATENATE("R2C",'Mapa final'!#REF!),"")</f>
        <v>#REF!</v>
      </c>
      <c r="N47" s="77" t="e">
        <f>IF(AND('Mapa final'!#REF!="Muy Baja",'Mapa final'!#REF!="Leve"),CONCATENATE("R2C",'Mapa final'!#REF!),"")</f>
        <v>#REF!</v>
      </c>
      <c r="O47" s="78" t="e">
        <f>IF(AND('Mapa final'!#REF!="Muy Baja",'Mapa final'!#REF!="Leve"),CONCATENATE("R2C",'Mapa final'!#REF!),"")</f>
        <v>#REF!</v>
      </c>
      <c r="P47" s="76" t="str">
        <f>IF(AND('Mapa final'!$Z$13="Muy Baja",'Mapa final'!$AB$13="Menor"),CONCATENATE("R2C",'Mapa final'!$P$13),"")</f>
        <v/>
      </c>
      <c r="Q47" s="77" t="str">
        <f>IF(AND('Mapa final'!$Z$14="Muy Baja",'Mapa final'!$AB$14="Menor"),CONCATENATE("R2C",'Mapa final'!$P$14),"")</f>
        <v/>
      </c>
      <c r="R47" s="77" t="str">
        <f>IF(AND('Mapa final'!$Z$15="Muy Baja",'Mapa final'!$AB$15="Menor"),CONCATENATE("R2C",'Mapa final'!$P$15),"")</f>
        <v/>
      </c>
      <c r="S47" s="77" t="e">
        <f>IF(AND('Mapa final'!#REF!="Muy Baja",'Mapa final'!#REF!="Menor"),CONCATENATE("R2C",'Mapa final'!#REF!),"")</f>
        <v>#REF!</v>
      </c>
      <c r="T47" s="77" t="e">
        <f>IF(AND('Mapa final'!#REF!="Muy Baja",'Mapa final'!#REF!="Menor"),CONCATENATE("R2C",'Mapa final'!#REF!),"")</f>
        <v>#REF!</v>
      </c>
      <c r="U47" s="78" t="e">
        <f>IF(AND('Mapa final'!#REF!="Muy Baja",'Mapa final'!#REF!="Menor"),CONCATENATE("R2C",'Mapa final'!#REF!),"")</f>
        <v>#REF!</v>
      </c>
      <c r="V47" s="67" t="str">
        <f>IF(AND('Mapa final'!$Z$13="Muy Baja",'Mapa final'!$AB$13="Moderado"),CONCATENATE("R2C",'Mapa final'!$P$13),"")</f>
        <v/>
      </c>
      <c r="W47" s="68" t="str">
        <f>IF(AND('Mapa final'!$Z$14="Muy Baja",'Mapa final'!$AB$14="Moderado"),CONCATENATE("R2C",'Mapa final'!$P$14),"")</f>
        <v/>
      </c>
      <c r="X47" s="68" t="str">
        <f>IF(AND('Mapa final'!$Z$15="Muy Baja",'Mapa final'!$AB$15="Moderado"),CONCATENATE("R2C",'Mapa final'!$P$15),"")</f>
        <v/>
      </c>
      <c r="Y47" s="68" t="e">
        <f>IF(AND('Mapa final'!#REF!="Muy Baja",'Mapa final'!#REF!="Moderado"),CONCATENATE("R2C",'Mapa final'!#REF!),"")</f>
        <v>#REF!</v>
      </c>
      <c r="Z47" s="68" t="e">
        <f>IF(AND('Mapa final'!#REF!="Muy Baja",'Mapa final'!#REF!="Moderado"),CONCATENATE("R2C",'Mapa final'!#REF!),"")</f>
        <v>#REF!</v>
      </c>
      <c r="AA47" s="69" t="e">
        <f>IF(AND('Mapa final'!#REF!="Muy Baja",'Mapa final'!#REF!="Moderado"),CONCATENATE("R2C",'Mapa final'!#REF!),"")</f>
        <v>#REF!</v>
      </c>
      <c r="AB47" s="52" t="str">
        <f>IF(AND('Mapa final'!$Z$13="Muy Baja",'Mapa final'!$AB$13="Mayor"),CONCATENATE("R2C",'Mapa final'!$P$13),"")</f>
        <v/>
      </c>
      <c r="AC47" s="53" t="str">
        <f>IF(AND('Mapa final'!$Z$14="Muy Baja",'Mapa final'!$AB$14="Mayor"),CONCATENATE("R2C",'Mapa final'!$P$14),"")</f>
        <v/>
      </c>
      <c r="AD47" s="53" t="str">
        <f>IF(AND('Mapa final'!$Z$15="Muy Baja",'Mapa final'!$AB$15="Mayor"),CONCATENATE("R2C",'Mapa final'!$P$15),"")</f>
        <v/>
      </c>
      <c r="AE47" s="53" t="e">
        <f>IF(AND('Mapa final'!#REF!="Muy Baja",'Mapa final'!#REF!="Mayor"),CONCATENATE("R2C",'Mapa final'!#REF!),"")</f>
        <v>#REF!</v>
      </c>
      <c r="AF47" s="53" t="e">
        <f>IF(AND('Mapa final'!#REF!="Muy Baja",'Mapa final'!#REF!="Mayor"),CONCATENATE("R2C",'Mapa final'!#REF!),"")</f>
        <v>#REF!</v>
      </c>
      <c r="AG47" s="54" t="e">
        <f>IF(AND('Mapa final'!#REF!="Muy Baja",'Mapa final'!#REF!="Mayor"),CONCATENATE("R2C",'Mapa final'!#REF!),"")</f>
        <v>#REF!</v>
      </c>
      <c r="AH47" s="55" t="str">
        <f>IF(AND('Mapa final'!$Z$13="Muy Baja",'Mapa final'!$AB$13="Catastrófico"),CONCATENATE("R2C",'Mapa final'!$P$13),"")</f>
        <v/>
      </c>
      <c r="AI47" s="56" t="str">
        <f>IF(AND('Mapa final'!$Z$14="Muy Baja",'Mapa final'!$AB$14="Catastrófico"),CONCATENATE("R2C",'Mapa final'!$P$14),"")</f>
        <v/>
      </c>
      <c r="AJ47" s="56" t="str">
        <f>IF(AND('Mapa final'!$Z$15="Muy Baja",'Mapa final'!$AB$15="Catastrófico"),CONCATENATE("R2C",'Mapa final'!$P$15),"")</f>
        <v/>
      </c>
      <c r="AK47" s="56" t="e">
        <f>IF(AND('Mapa final'!#REF!="Muy Baja",'Mapa final'!#REF!="Catastrófico"),CONCATENATE("R2C",'Mapa final'!#REF!),"")</f>
        <v>#REF!</v>
      </c>
      <c r="AL47" s="56" t="e">
        <f>IF(AND('Mapa final'!#REF!="Muy Baja",'Mapa final'!#REF!="Catastrófico"),CONCATENATE("R2C",'Mapa final'!#REF!),"")</f>
        <v>#REF!</v>
      </c>
      <c r="AM47" s="57" t="e">
        <f>IF(AND('Mapa final'!#REF!="Muy Baja",'Mapa final'!#REF!="Catastrófico"),CONCATENATE("R2C",'Mapa final'!#REF!),"")</f>
        <v>#REF!</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236"/>
      <c r="C48" s="236"/>
      <c r="D48" s="237"/>
      <c r="E48" s="333"/>
      <c r="F48" s="334"/>
      <c r="G48" s="334"/>
      <c r="H48" s="334"/>
      <c r="I48" s="350"/>
      <c r="J48" s="76" t="str">
        <f>IF(AND('Mapa final'!$Z$16="Muy Baja",'Mapa final'!$AB$16="Leve"),CONCATENATE("R3C",'Mapa final'!$P$16),"")</f>
        <v/>
      </c>
      <c r="K48" s="77" t="str">
        <f>IF(AND('Mapa final'!$Z$17="Muy Baja",'Mapa final'!$AB$17="Leve"),CONCATENATE("R3C",'Mapa final'!$P$17),"")</f>
        <v/>
      </c>
      <c r="L48" s="77" t="str">
        <f>IF(AND('Mapa final'!$Z$18="Muy Baja",'Mapa final'!$AB$18="Leve"),CONCATENATE("R3C",'Mapa final'!$P$18),"")</f>
        <v/>
      </c>
      <c r="M48" s="77" t="e">
        <f>IF(AND('Mapa final'!#REF!="Muy Baja",'Mapa final'!#REF!="Leve"),CONCATENATE("R3C",'Mapa final'!#REF!),"")</f>
        <v>#REF!</v>
      </c>
      <c r="N48" s="77" t="e">
        <f>IF(AND('Mapa final'!#REF!="Muy Baja",'Mapa final'!#REF!="Leve"),CONCATENATE("R3C",'Mapa final'!#REF!),"")</f>
        <v>#REF!</v>
      </c>
      <c r="O48" s="78" t="e">
        <f>IF(AND('Mapa final'!#REF!="Muy Baja",'Mapa final'!#REF!="Leve"),CONCATENATE("R3C",'Mapa final'!#REF!),"")</f>
        <v>#REF!</v>
      </c>
      <c r="P48" s="76" t="str">
        <f>IF(AND('Mapa final'!$Z$16="Muy Baja",'Mapa final'!$AB$16="Menor"),CONCATENATE("R3C",'Mapa final'!$P$16),"")</f>
        <v/>
      </c>
      <c r="Q48" s="77" t="str">
        <f>IF(AND('Mapa final'!$Z$17="Muy Baja",'Mapa final'!$AB$17="Menor"),CONCATENATE("R3C",'Mapa final'!$P$17),"")</f>
        <v/>
      </c>
      <c r="R48" s="77" t="str">
        <f>IF(AND('Mapa final'!$Z$18="Muy Baja",'Mapa final'!$AB$18="Menor"),CONCATENATE("R3C",'Mapa final'!$P$18),"")</f>
        <v/>
      </c>
      <c r="S48" s="77" t="e">
        <f>IF(AND('Mapa final'!#REF!="Muy Baja",'Mapa final'!#REF!="Menor"),CONCATENATE("R3C",'Mapa final'!#REF!),"")</f>
        <v>#REF!</v>
      </c>
      <c r="T48" s="77" t="e">
        <f>IF(AND('Mapa final'!#REF!="Muy Baja",'Mapa final'!#REF!="Menor"),CONCATENATE("R3C",'Mapa final'!#REF!),"")</f>
        <v>#REF!</v>
      </c>
      <c r="U48" s="78" t="e">
        <f>IF(AND('Mapa final'!#REF!="Muy Baja",'Mapa final'!#REF!="Menor"),CONCATENATE("R3C",'Mapa final'!#REF!),"")</f>
        <v>#REF!</v>
      </c>
      <c r="V48" s="67" t="str">
        <f>IF(AND('Mapa final'!$Z$16="Muy Baja",'Mapa final'!$AB$16="Moderado"),CONCATENATE("R3C",'Mapa final'!$P$16),"")</f>
        <v>R3C1</v>
      </c>
      <c r="W48" s="68" t="str">
        <f>IF(AND('Mapa final'!$Z$17="Muy Baja",'Mapa final'!$AB$17="Moderado"),CONCATENATE("R3C",'Mapa final'!$P$17),"")</f>
        <v/>
      </c>
      <c r="X48" s="68" t="str">
        <f>IF(AND('Mapa final'!$Z$18="Muy Baja",'Mapa final'!$AB$18="Moderado"),CONCATENATE("R3C",'Mapa final'!$P$18),"")</f>
        <v/>
      </c>
      <c r="Y48" s="68" t="e">
        <f>IF(AND('Mapa final'!#REF!="Muy Baja",'Mapa final'!#REF!="Moderado"),CONCATENATE("R3C",'Mapa final'!#REF!),"")</f>
        <v>#REF!</v>
      </c>
      <c r="Z48" s="68" t="e">
        <f>IF(AND('Mapa final'!#REF!="Muy Baja",'Mapa final'!#REF!="Moderado"),CONCATENATE("R3C",'Mapa final'!#REF!),"")</f>
        <v>#REF!</v>
      </c>
      <c r="AA48" s="69" t="e">
        <f>IF(AND('Mapa final'!#REF!="Muy Baja",'Mapa final'!#REF!="Moderado"),CONCATENATE("R3C",'Mapa final'!#REF!),"")</f>
        <v>#REF!</v>
      </c>
      <c r="AB48" s="52" t="str">
        <f>IF(AND('Mapa final'!$Z$16="Muy Baja",'Mapa final'!$AB$16="Mayor"),CONCATENATE("R3C",'Mapa final'!$P$16),"")</f>
        <v/>
      </c>
      <c r="AC48" s="53" t="str">
        <f>IF(AND('Mapa final'!$Z$17="Muy Baja",'Mapa final'!$AB$17="Mayor"),CONCATENATE("R3C",'Mapa final'!$P$17),"")</f>
        <v/>
      </c>
      <c r="AD48" s="53" t="str">
        <f>IF(AND('Mapa final'!$Z$18="Muy Baja",'Mapa final'!$AB$18="Mayor"),CONCATENATE("R3C",'Mapa final'!$P$18),"")</f>
        <v/>
      </c>
      <c r="AE48" s="53" t="e">
        <f>IF(AND('Mapa final'!#REF!="Muy Baja",'Mapa final'!#REF!="Mayor"),CONCATENATE("R3C",'Mapa final'!#REF!),"")</f>
        <v>#REF!</v>
      </c>
      <c r="AF48" s="53" t="e">
        <f>IF(AND('Mapa final'!#REF!="Muy Baja",'Mapa final'!#REF!="Mayor"),CONCATENATE("R3C",'Mapa final'!#REF!),"")</f>
        <v>#REF!</v>
      </c>
      <c r="AG48" s="54" t="e">
        <f>IF(AND('Mapa final'!#REF!="Muy Baja",'Mapa final'!#REF!="Mayor"),CONCATENATE("R3C",'Mapa final'!#REF!),"")</f>
        <v>#REF!</v>
      </c>
      <c r="AH48" s="55" t="str">
        <f>IF(AND('Mapa final'!$Z$16="Muy Baja",'Mapa final'!$AB$16="Catastrófico"),CONCATENATE("R3C",'Mapa final'!$P$16),"")</f>
        <v/>
      </c>
      <c r="AI48" s="56" t="str">
        <f>IF(AND('Mapa final'!$Z$17="Muy Baja",'Mapa final'!$AB$17="Catastrófico"),CONCATENATE("R3C",'Mapa final'!$P$17),"")</f>
        <v/>
      </c>
      <c r="AJ48" s="56" t="str">
        <f>IF(AND('Mapa final'!$Z$18="Muy Baja",'Mapa final'!$AB$18="Catastrófico"),CONCATENATE("R3C",'Mapa final'!$P$18),"")</f>
        <v/>
      </c>
      <c r="AK48" s="56" t="e">
        <f>IF(AND('Mapa final'!#REF!="Muy Baja",'Mapa final'!#REF!="Catastrófico"),CONCATENATE("R3C",'Mapa final'!#REF!),"")</f>
        <v>#REF!</v>
      </c>
      <c r="AL48" s="56" t="e">
        <f>IF(AND('Mapa final'!#REF!="Muy Baja",'Mapa final'!#REF!="Catastrófico"),CONCATENATE("R3C",'Mapa final'!#REF!),"")</f>
        <v>#REF!</v>
      </c>
      <c r="AM48" s="57" t="e">
        <f>IF(AND('Mapa final'!#REF!="Muy Baja",'Mapa final'!#REF!="Catastrófico"),CONCATENATE("R3C",'Mapa final'!#REF!),"")</f>
        <v>#REF!</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236"/>
      <c r="C49" s="236"/>
      <c r="D49" s="237"/>
      <c r="E49" s="335"/>
      <c r="F49" s="334"/>
      <c r="G49" s="334"/>
      <c r="H49" s="334"/>
      <c r="I49" s="350"/>
      <c r="J49" s="76" t="str">
        <f>IF(AND('Mapa final'!$Z$19="Muy Baja",'Mapa final'!$AB$19="Leve"),CONCATENATE("R4C",'Mapa final'!$P$19),"")</f>
        <v/>
      </c>
      <c r="K49" s="77" t="str">
        <f>IF(AND('Mapa final'!$Z$20="Muy Baja",'Mapa final'!$AB$20="Leve"),CONCATENATE("R4C",'Mapa final'!$P$20),"")</f>
        <v/>
      </c>
      <c r="L49" s="77" t="str">
        <f>IF(AND('Mapa final'!$Z$21="Muy Baja",'Mapa final'!$AB$21="Leve"),CONCATENATE("R4C",'Mapa final'!$P$21),"")</f>
        <v/>
      </c>
      <c r="M49" s="77" t="e">
        <f>IF(AND('Mapa final'!#REF!="Muy Baja",'Mapa final'!#REF!="Leve"),CONCATENATE("R4C",'Mapa final'!#REF!),"")</f>
        <v>#REF!</v>
      </c>
      <c r="N49" s="77" t="e">
        <f>IF(AND('Mapa final'!#REF!="Muy Baja",'Mapa final'!#REF!="Leve"),CONCATENATE("R4C",'Mapa final'!#REF!),"")</f>
        <v>#REF!</v>
      </c>
      <c r="O49" s="78" t="e">
        <f>IF(AND('Mapa final'!#REF!="Muy Baja",'Mapa final'!#REF!="Leve"),CONCATENATE("R4C",'Mapa final'!#REF!),"")</f>
        <v>#REF!</v>
      </c>
      <c r="P49" s="76" t="str">
        <f>IF(AND('Mapa final'!$Z$19="Muy Baja",'Mapa final'!$AB$19="Menor"),CONCATENATE("R4C",'Mapa final'!$P$19),"")</f>
        <v/>
      </c>
      <c r="Q49" s="77" t="str">
        <f>IF(AND('Mapa final'!$Z$20="Muy Baja",'Mapa final'!$AB$20="Menor"),CONCATENATE("R4C",'Mapa final'!$P$20),"")</f>
        <v/>
      </c>
      <c r="R49" s="77" t="str">
        <f>IF(AND('Mapa final'!$Z$21="Muy Baja",'Mapa final'!$AB$21="Menor"),CONCATENATE("R4C",'Mapa final'!$P$21),"")</f>
        <v/>
      </c>
      <c r="S49" s="77" t="e">
        <f>IF(AND('Mapa final'!#REF!="Muy Baja",'Mapa final'!#REF!="Menor"),CONCATENATE("R4C",'Mapa final'!#REF!),"")</f>
        <v>#REF!</v>
      </c>
      <c r="T49" s="77" t="e">
        <f>IF(AND('Mapa final'!#REF!="Muy Baja",'Mapa final'!#REF!="Menor"),CONCATENATE("R4C",'Mapa final'!#REF!),"")</f>
        <v>#REF!</v>
      </c>
      <c r="U49" s="78" t="e">
        <f>IF(AND('Mapa final'!#REF!="Muy Baja",'Mapa final'!#REF!="Menor"),CONCATENATE("R4C",'Mapa final'!#REF!),"")</f>
        <v>#REF!</v>
      </c>
      <c r="V49" s="67" t="str">
        <f>IF(AND('Mapa final'!$Z$19="Muy Baja",'Mapa final'!$AB$19="Moderado"),CONCATENATE("R4C",'Mapa final'!$P$19),"")</f>
        <v/>
      </c>
      <c r="W49" s="68" t="str">
        <f>IF(AND('Mapa final'!$Z$20="Muy Baja",'Mapa final'!$AB$20="Moderado"),CONCATENATE("R4C",'Mapa final'!$P$20),"")</f>
        <v/>
      </c>
      <c r="X49" s="68" t="str">
        <f>IF(AND('Mapa final'!$Z$21="Muy Baja",'Mapa final'!$AB$21="Moderado"),CONCATENATE("R4C",'Mapa final'!$P$21),"")</f>
        <v/>
      </c>
      <c r="Y49" s="68" t="e">
        <f>IF(AND('Mapa final'!#REF!="Muy Baja",'Mapa final'!#REF!="Moderado"),CONCATENATE("R4C",'Mapa final'!#REF!),"")</f>
        <v>#REF!</v>
      </c>
      <c r="Z49" s="68" t="e">
        <f>IF(AND('Mapa final'!#REF!="Muy Baja",'Mapa final'!#REF!="Moderado"),CONCATENATE("R4C",'Mapa final'!#REF!),"")</f>
        <v>#REF!</v>
      </c>
      <c r="AA49" s="69" t="e">
        <f>IF(AND('Mapa final'!#REF!="Muy Baja",'Mapa final'!#REF!="Moderado"),CONCATENATE("R4C",'Mapa final'!#REF!),"")</f>
        <v>#REF!</v>
      </c>
      <c r="AB49" s="52" t="str">
        <f>IF(AND('Mapa final'!$Z$19="Muy Baja",'Mapa final'!$AB$19="Mayor"),CONCATENATE("R4C",'Mapa final'!$P$19),"")</f>
        <v/>
      </c>
      <c r="AC49" s="53" t="str">
        <f>IF(AND('Mapa final'!$Z$20="Muy Baja",'Mapa final'!$AB$20="Mayor"),CONCATENATE("R4C",'Mapa final'!$P$20),"")</f>
        <v/>
      </c>
      <c r="AD49" s="53" t="str">
        <f>IF(AND('Mapa final'!$Z$21="Muy Baja",'Mapa final'!$AB$21="Mayor"),CONCATENATE("R4C",'Mapa final'!$P$21),"")</f>
        <v/>
      </c>
      <c r="AE49" s="53" t="e">
        <f>IF(AND('Mapa final'!#REF!="Muy Baja",'Mapa final'!#REF!="Mayor"),CONCATENATE("R4C",'Mapa final'!#REF!),"")</f>
        <v>#REF!</v>
      </c>
      <c r="AF49" s="53" t="e">
        <f>IF(AND('Mapa final'!#REF!="Muy Baja",'Mapa final'!#REF!="Mayor"),CONCATENATE("R4C",'Mapa final'!#REF!),"")</f>
        <v>#REF!</v>
      </c>
      <c r="AG49" s="54" t="e">
        <f>IF(AND('Mapa final'!#REF!="Muy Baja",'Mapa final'!#REF!="Mayor"),CONCATENATE("R4C",'Mapa final'!#REF!),"")</f>
        <v>#REF!</v>
      </c>
      <c r="AH49" s="55" t="str">
        <f>IF(AND('Mapa final'!$Z$19="Muy Baja",'Mapa final'!$AB$19="Catastrófico"),CONCATENATE("R4C",'Mapa final'!$P$19),"")</f>
        <v/>
      </c>
      <c r="AI49" s="56" t="str">
        <f>IF(AND('Mapa final'!$Z$20="Muy Baja",'Mapa final'!$AB$20="Catastrófico"),CONCATENATE("R4C",'Mapa final'!$P$20),"")</f>
        <v/>
      </c>
      <c r="AJ49" s="56" t="str">
        <f>IF(AND('Mapa final'!$Z$21="Muy Baja",'Mapa final'!$AB$21="Catastrófico"),CONCATENATE("R4C",'Mapa final'!$P$21),"")</f>
        <v/>
      </c>
      <c r="AK49" s="56" t="e">
        <f>IF(AND('Mapa final'!#REF!="Muy Baja",'Mapa final'!#REF!="Catastrófico"),CONCATENATE("R4C",'Mapa final'!#REF!),"")</f>
        <v>#REF!</v>
      </c>
      <c r="AL49" s="56" t="e">
        <f>IF(AND('Mapa final'!#REF!="Muy Baja",'Mapa final'!#REF!="Catastrófico"),CONCATENATE("R4C",'Mapa final'!#REF!),"")</f>
        <v>#REF!</v>
      </c>
      <c r="AM49" s="57" t="e">
        <f>IF(AND('Mapa final'!#REF!="Muy Baja",'Mapa final'!#REF!="Catastrófico"),CONCATENATE("R4C",'Mapa final'!#REF!),"")</f>
        <v>#REF!</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236"/>
      <c r="C50" s="236"/>
      <c r="D50" s="237"/>
      <c r="E50" s="335"/>
      <c r="F50" s="334"/>
      <c r="G50" s="334"/>
      <c r="H50" s="334"/>
      <c r="I50" s="350"/>
      <c r="J50" s="76" t="e">
        <f>IF(AND('Mapa final'!#REF!="Muy Baja",'Mapa final'!#REF!="Leve"),CONCATENATE("R5C",'Mapa final'!#REF!),"")</f>
        <v>#REF!</v>
      </c>
      <c r="K50" s="77" t="e">
        <f>IF(AND('Mapa final'!#REF!="Muy Baja",'Mapa final'!#REF!="Leve"),CONCATENATE("R5C",'Mapa final'!#REF!),"")</f>
        <v>#REF!</v>
      </c>
      <c r="L50" s="77" t="e">
        <f>IF(AND('Mapa final'!#REF!="Muy Baja",'Mapa final'!#REF!="Leve"),CONCATENATE("R5C",'Mapa final'!#REF!),"")</f>
        <v>#REF!</v>
      </c>
      <c r="M50" s="77" t="e">
        <f>IF(AND('Mapa final'!#REF!="Muy Baja",'Mapa final'!#REF!="Leve"),CONCATENATE("R5C",'Mapa final'!#REF!),"")</f>
        <v>#REF!</v>
      </c>
      <c r="N50" s="77" t="e">
        <f>IF(AND('Mapa final'!#REF!="Muy Baja",'Mapa final'!#REF!="Leve"),CONCATENATE("R5C",'Mapa final'!#REF!),"")</f>
        <v>#REF!</v>
      </c>
      <c r="O50" s="78" t="e">
        <f>IF(AND('Mapa final'!#REF!="Muy Baja",'Mapa final'!#REF!="Leve"),CONCATENATE("R5C",'Mapa final'!#REF!),"")</f>
        <v>#REF!</v>
      </c>
      <c r="P50" s="76" t="e">
        <f>IF(AND('Mapa final'!#REF!="Muy Baja",'Mapa final'!#REF!="Menor"),CONCATENATE("R5C",'Mapa final'!#REF!),"")</f>
        <v>#REF!</v>
      </c>
      <c r="Q50" s="77" t="e">
        <f>IF(AND('Mapa final'!#REF!="Muy Baja",'Mapa final'!#REF!="Menor"),CONCATENATE("R5C",'Mapa final'!#REF!),"")</f>
        <v>#REF!</v>
      </c>
      <c r="R50" s="77" t="e">
        <f>IF(AND('Mapa final'!#REF!="Muy Baja",'Mapa final'!#REF!="Menor"),CONCATENATE("R5C",'Mapa final'!#REF!),"")</f>
        <v>#REF!</v>
      </c>
      <c r="S50" s="77" t="e">
        <f>IF(AND('Mapa final'!#REF!="Muy Baja",'Mapa final'!#REF!="Menor"),CONCATENATE("R5C",'Mapa final'!#REF!),"")</f>
        <v>#REF!</v>
      </c>
      <c r="T50" s="77" t="e">
        <f>IF(AND('Mapa final'!#REF!="Muy Baja",'Mapa final'!#REF!="Menor"),CONCATENATE("R5C",'Mapa final'!#REF!),"")</f>
        <v>#REF!</v>
      </c>
      <c r="U50" s="78" t="e">
        <f>IF(AND('Mapa final'!#REF!="Muy Baja",'Mapa final'!#REF!="Menor"),CONCATENATE("R5C",'Mapa final'!#REF!),"")</f>
        <v>#REF!</v>
      </c>
      <c r="V50" s="67" t="e">
        <f>IF(AND('Mapa final'!#REF!="Muy Baja",'Mapa final'!#REF!="Moderado"),CONCATENATE("R5C",'Mapa final'!#REF!),"")</f>
        <v>#REF!</v>
      </c>
      <c r="W50" s="68" t="e">
        <f>IF(AND('Mapa final'!#REF!="Muy Baja",'Mapa final'!#REF!="Moderado"),CONCATENATE("R5C",'Mapa final'!#REF!),"")</f>
        <v>#REF!</v>
      </c>
      <c r="X50" s="68" t="e">
        <f>IF(AND('Mapa final'!#REF!="Muy Baja",'Mapa final'!#REF!="Moderado"),CONCATENATE("R5C",'Mapa final'!#REF!),"")</f>
        <v>#REF!</v>
      </c>
      <c r="Y50" s="68" t="e">
        <f>IF(AND('Mapa final'!#REF!="Muy Baja",'Mapa final'!#REF!="Moderado"),CONCATENATE("R5C",'Mapa final'!#REF!),"")</f>
        <v>#REF!</v>
      </c>
      <c r="Z50" s="68" t="e">
        <f>IF(AND('Mapa final'!#REF!="Muy Baja",'Mapa final'!#REF!="Moderado"),CONCATENATE("R5C",'Mapa final'!#REF!),"")</f>
        <v>#REF!</v>
      </c>
      <c r="AA50" s="69" t="e">
        <f>IF(AND('Mapa final'!#REF!="Muy Baja",'Mapa final'!#REF!="Moderado"),CONCATENATE("R5C",'Mapa final'!#REF!),"")</f>
        <v>#REF!</v>
      </c>
      <c r="AB50" s="52" t="e">
        <f>IF(AND('Mapa final'!#REF!="Muy Baja",'Mapa final'!#REF!="Mayor"),CONCATENATE("R5C",'Mapa final'!#REF!),"")</f>
        <v>#REF!</v>
      </c>
      <c r="AC50" s="53" t="e">
        <f>IF(AND('Mapa final'!#REF!="Muy Baja",'Mapa final'!#REF!="Mayor"),CONCATENATE("R5C",'Mapa final'!#REF!),"")</f>
        <v>#REF!</v>
      </c>
      <c r="AD50" s="53" t="e">
        <f>IF(AND('Mapa final'!#REF!="Muy Baja",'Mapa final'!#REF!="Mayor"),CONCATENATE("R5C",'Mapa final'!#REF!),"")</f>
        <v>#REF!</v>
      </c>
      <c r="AE50" s="53" t="e">
        <f>IF(AND('Mapa final'!#REF!="Muy Baja",'Mapa final'!#REF!="Mayor"),CONCATENATE("R5C",'Mapa final'!#REF!),"")</f>
        <v>#REF!</v>
      </c>
      <c r="AF50" s="53" t="e">
        <f>IF(AND('Mapa final'!#REF!="Muy Baja",'Mapa final'!#REF!="Mayor"),CONCATENATE("R5C",'Mapa final'!#REF!),"")</f>
        <v>#REF!</v>
      </c>
      <c r="AG50" s="54" t="e">
        <f>IF(AND('Mapa final'!#REF!="Muy Baja",'Mapa final'!#REF!="Mayor"),CONCATENATE("R5C",'Mapa final'!#REF!),"")</f>
        <v>#REF!</v>
      </c>
      <c r="AH50" s="55" t="e">
        <f>IF(AND('Mapa final'!#REF!="Muy Baja",'Mapa final'!#REF!="Catastrófico"),CONCATENATE("R5C",'Mapa final'!#REF!),"")</f>
        <v>#REF!</v>
      </c>
      <c r="AI50" s="56" t="e">
        <f>IF(AND('Mapa final'!#REF!="Muy Baja",'Mapa final'!#REF!="Catastrófico"),CONCATENATE("R5C",'Mapa final'!#REF!),"")</f>
        <v>#REF!</v>
      </c>
      <c r="AJ50" s="56" t="e">
        <f>IF(AND('Mapa final'!#REF!="Muy Baja",'Mapa final'!#REF!="Catastrófico"),CONCATENATE("R5C",'Mapa final'!#REF!),"")</f>
        <v>#REF!</v>
      </c>
      <c r="AK50" s="56" t="e">
        <f>IF(AND('Mapa final'!#REF!="Muy Baja",'Mapa final'!#REF!="Catastrófico"),CONCATENATE("R5C",'Mapa final'!#REF!),"")</f>
        <v>#REF!</v>
      </c>
      <c r="AL50" s="56" t="e">
        <f>IF(AND('Mapa final'!#REF!="Muy Baja",'Mapa final'!#REF!="Catastrófico"),CONCATENATE("R5C",'Mapa final'!#REF!),"")</f>
        <v>#REF!</v>
      </c>
      <c r="AM50" s="57" t="e">
        <f>IF(AND('Mapa final'!#REF!="Muy Baja",'Mapa final'!#REF!="Catastrófico"),CONCATENATE("R5C",'Mapa final'!#REF!),"")</f>
        <v>#REF!</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236"/>
      <c r="C51" s="236"/>
      <c r="D51" s="237"/>
      <c r="E51" s="335"/>
      <c r="F51" s="334"/>
      <c r="G51" s="334"/>
      <c r="H51" s="334"/>
      <c r="I51" s="350"/>
      <c r="J51" s="76" t="str">
        <f>IF(AND('Mapa final'!$Z$22="Muy Baja",'Mapa final'!$AB$22="Leve"),CONCATENATE("R6C",'Mapa final'!$P$22),"")</f>
        <v/>
      </c>
      <c r="K51" s="77" t="str">
        <f>IF(AND('Mapa final'!$Z$23="Muy Baja",'Mapa final'!$AB$23="Leve"),CONCATENATE("R6C",'Mapa final'!$P$23),"")</f>
        <v/>
      </c>
      <c r="L51" s="77" t="str">
        <f>IF(AND('Mapa final'!$Z$24="Muy Baja",'Mapa final'!$AB$24="Leve"),CONCATENATE("R6C",'Mapa final'!$P$24),"")</f>
        <v/>
      </c>
      <c r="M51" s="77" t="e">
        <f>IF(AND('Mapa final'!#REF!="Muy Baja",'Mapa final'!#REF!="Leve"),CONCATENATE("R6C",'Mapa final'!#REF!),"")</f>
        <v>#REF!</v>
      </c>
      <c r="N51" s="77" t="e">
        <f>IF(AND('Mapa final'!#REF!="Muy Baja",'Mapa final'!#REF!="Leve"),CONCATENATE("R6C",'Mapa final'!#REF!),"")</f>
        <v>#REF!</v>
      </c>
      <c r="O51" s="78" t="e">
        <f>IF(AND('Mapa final'!#REF!="Muy Baja",'Mapa final'!#REF!="Leve"),CONCATENATE("R6C",'Mapa final'!#REF!),"")</f>
        <v>#REF!</v>
      </c>
      <c r="P51" s="76" t="str">
        <f>IF(AND('Mapa final'!$Z$22="Muy Baja",'Mapa final'!$AB$22="Menor"),CONCATENATE("R6C",'Mapa final'!$P$22),"")</f>
        <v/>
      </c>
      <c r="Q51" s="77" t="str">
        <f>IF(AND('Mapa final'!$Z$23="Muy Baja",'Mapa final'!$AB$23="Menor"),CONCATENATE("R6C",'Mapa final'!$P$23),"")</f>
        <v/>
      </c>
      <c r="R51" s="77" t="str">
        <f>IF(AND('Mapa final'!$Z$24="Muy Baja",'Mapa final'!$AB$24="Menor"),CONCATENATE("R6C",'Mapa final'!$P$24),"")</f>
        <v/>
      </c>
      <c r="S51" s="77" t="e">
        <f>IF(AND('Mapa final'!#REF!="Muy Baja",'Mapa final'!#REF!="Menor"),CONCATENATE("R6C",'Mapa final'!#REF!),"")</f>
        <v>#REF!</v>
      </c>
      <c r="T51" s="77" t="e">
        <f>IF(AND('Mapa final'!#REF!="Muy Baja",'Mapa final'!#REF!="Menor"),CONCATENATE("R6C",'Mapa final'!#REF!),"")</f>
        <v>#REF!</v>
      </c>
      <c r="U51" s="78" t="e">
        <f>IF(AND('Mapa final'!#REF!="Muy Baja",'Mapa final'!#REF!="Menor"),CONCATENATE("R6C",'Mapa final'!#REF!),"")</f>
        <v>#REF!</v>
      </c>
      <c r="V51" s="67" t="str">
        <f>IF(AND('Mapa final'!$Z$22="Muy Baja",'Mapa final'!$AB$22="Moderado"),CONCATENATE("R6C",'Mapa final'!$P$22),"")</f>
        <v/>
      </c>
      <c r="W51" s="68" t="str">
        <f>IF(AND('Mapa final'!$Z$23="Muy Baja",'Mapa final'!$AB$23="Moderado"),CONCATENATE("R6C",'Mapa final'!$P$23),"")</f>
        <v/>
      </c>
      <c r="X51" s="68" t="str">
        <f>IF(AND('Mapa final'!$Z$24="Muy Baja",'Mapa final'!$AB$24="Moderado"),CONCATENATE("R6C",'Mapa final'!$P$24),"")</f>
        <v/>
      </c>
      <c r="Y51" s="68" t="e">
        <f>IF(AND('Mapa final'!#REF!="Muy Baja",'Mapa final'!#REF!="Moderado"),CONCATENATE("R6C",'Mapa final'!#REF!),"")</f>
        <v>#REF!</v>
      </c>
      <c r="Z51" s="68" t="e">
        <f>IF(AND('Mapa final'!#REF!="Muy Baja",'Mapa final'!#REF!="Moderado"),CONCATENATE("R6C",'Mapa final'!#REF!),"")</f>
        <v>#REF!</v>
      </c>
      <c r="AA51" s="69" t="e">
        <f>IF(AND('Mapa final'!#REF!="Muy Baja",'Mapa final'!#REF!="Moderado"),CONCATENATE("R6C",'Mapa final'!#REF!),"")</f>
        <v>#REF!</v>
      </c>
      <c r="AB51" s="52" t="str">
        <f>IF(AND('Mapa final'!$Z$22="Muy Baja",'Mapa final'!$AB$22="Mayor"),CONCATENATE("R6C",'Mapa final'!$P$22),"")</f>
        <v/>
      </c>
      <c r="AC51" s="53" t="str">
        <f>IF(AND('Mapa final'!$Z$23="Muy Baja",'Mapa final'!$AB$23="Mayor"),CONCATENATE("R6C",'Mapa final'!$P$23),"")</f>
        <v/>
      </c>
      <c r="AD51" s="53" t="str">
        <f>IF(AND('Mapa final'!$Z$24="Muy Baja",'Mapa final'!$AB$24="Mayor"),CONCATENATE("R6C",'Mapa final'!$P$24),"")</f>
        <v/>
      </c>
      <c r="AE51" s="53" t="e">
        <f>IF(AND('Mapa final'!#REF!="Muy Baja",'Mapa final'!#REF!="Mayor"),CONCATENATE("R6C",'Mapa final'!#REF!),"")</f>
        <v>#REF!</v>
      </c>
      <c r="AF51" s="53" t="e">
        <f>IF(AND('Mapa final'!#REF!="Muy Baja",'Mapa final'!#REF!="Mayor"),CONCATENATE("R6C",'Mapa final'!#REF!),"")</f>
        <v>#REF!</v>
      </c>
      <c r="AG51" s="54" t="e">
        <f>IF(AND('Mapa final'!#REF!="Muy Baja",'Mapa final'!#REF!="Mayor"),CONCATENATE("R6C",'Mapa final'!#REF!),"")</f>
        <v>#REF!</v>
      </c>
      <c r="AH51" s="55" t="str">
        <f>IF(AND('Mapa final'!$Z$22="Muy Baja",'Mapa final'!$AB$22="Catastrófico"),CONCATENATE("R6C",'Mapa final'!$P$22),"")</f>
        <v/>
      </c>
      <c r="AI51" s="56" t="str">
        <f>IF(AND('Mapa final'!$Z$23="Muy Baja",'Mapa final'!$AB$23="Catastrófico"),CONCATENATE("R6C",'Mapa final'!$P$23),"")</f>
        <v/>
      </c>
      <c r="AJ51" s="56" t="str">
        <f>IF(AND('Mapa final'!$Z$24="Muy Baja",'Mapa final'!$AB$24="Catastrófico"),CONCATENATE("R6C",'Mapa final'!$P$24),"")</f>
        <v/>
      </c>
      <c r="AK51" s="56" t="e">
        <f>IF(AND('Mapa final'!#REF!="Muy Baja",'Mapa final'!#REF!="Catastrófico"),CONCATENATE("R6C",'Mapa final'!#REF!),"")</f>
        <v>#REF!</v>
      </c>
      <c r="AL51" s="56" t="e">
        <f>IF(AND('Mapa final'!#REF!="Muy Baja",'Mapa final'!#REF!="Catastrófico"),CONCATENATE("R6C",'Mapa final'!#REF!),"")</f>
        <v>#REF!</v>
      </c>
      <c r="AM51" s="57" t="e">
        <f>IF(AND('Mapa final'!#REF!="Muy Baja",'Mapa final'!#REF!="Catastrófico"),CONCATENATE("R6C",'Mapa final'!#REF!),"")</f>
        <v>#REF!</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236"/>
      <c r="C52" s="236"/>
      <c r="D52" s="237"/>
      <c r="E52" s="335"/>
      <c r="F52" s="334"/>
      <c r="G52" s="334"/>
      <c r="H52" s="334"/>
      <c r="I52" s="350"/>
      <c r="J52" s="76" t="e">
        <f>IF(AND('Mapa final'!#REF!="Muy Baja",'Mapa final'!#REF!="Leve"),CONCATENATE("R7C",'Mapa final'!#REF!),"")</f>
        <v>#REF!</v>
      </c>
      <c r="K52" s="77" t="e">
        <f>IF(AND('Mapa final'!#REF!="Muy Baja",'Mapa final'!#REF!="Leve"),CONCATENATE("R7C",'Mapa final'!#REF!),"")</f>
        <v>#REF!</v>
      </c>
      <c r="L52" s="77" t="e">
        <f>IF(AND('Mapa final'!#REF!="Muy Baja",'Mapa final'!#REF!="Leve"),CONCATENATE("R7C",'Mapa final'!#REF!),"")</f>
        <v>#REF!</v>
      </c>
      <c r="M52" s="77" t="e">
        <f>IF(AND('Mapa final'!#REF!="Muy Baja",'Mapa final'!#REF!="Leve"),CONCATENATE("R7C",'Mapa final'!#REF!),"")</f>
        <v>#REF!</v>
      </c>
      <c r="N52" s="77" t="e">
        <f>IF(AND('Mapa final'!#REF!="Muy Baja",'Mapa final'!#REF!="Leve"),CONCATENATE("R7C",'Mapa final'!#REF!),"")</f>
        <v>#REF!</v>
      </c>
      <c r="O52" s="78" t="e">
        <f>IF(AND('Mapa final'!#REF!="Muy Baja",'Mapa final'!#REF!="Leve"),CONCATENATE("R7C",'Mapa final'!#REF!),"")</f>
        <v>#REF!</v>
      </c>
      <c r="P52" s="76" t="e">
        <f>IF(AND('Mapa final'!#REF!="Muy Baja",'Mapa final'!#REF!="Menor"),CONCATENATE("R7C",'Mapa final'!#REF!),"")</f>
        <v>#REF!</v>
      </c>
      <c r="Q52" s="77" t="e">
        <f>IF(AND('Mapa final'!#REF!="Muy Baja",'Mapa final'!#REF!="Menor"),CONCATENATE("R7C",'Mapa final'!#REF!),"")</f>
        <v>#REF!</v>
      </c>
      <c r="R52" s="77" t="e">
        <f>IF(AND('Mapa final'!#REF!="Muy Baja",'Mapa final'!#REF!="Menor"),CONCATENATE("R7C",'Mapa final'!#REF!),"")</f>
        <v>#REF!</v>
      </c>
      <c r="S52" s="77" t="e">
        <f>IF(AND('Mapa final'!#REF!="Muy Baja",'Mapa final'!#REF!="Menor"),CONCATENATE("R7C",'Mapa final'!#REF!),"")</f>
        <v>#REF!</v>
      </c>
      <c r="T52" s="77" t="e">
        <f>IF(AND('Mapa final'!#REF!="Muy Baja",'Mapa final'!#REF!="Menor"),CONCATENATE("R7C",'Mapa final'!#REF!),"")</f>
        <v>#REF!</v>
      </c>
      <c r="U52" s="78" t="e">
        <f>IF(AND('Mapa final'!#REF!="Muy Baja",'Mapa final'!#REF!="Menor"),CONCATENATE("R7C",'Mapa final'!#REF!),"")</f>
        <v>#REF!</v>
      </c>
      <c r="V52" s="67" t="e">
        <f>IF(AND('Mapa final'!#REF!="Muy Baja",'Mapa final'!#REF!="Moderado"),CONCATENATE("R7C",'Mapa final'!#REF!),"")</f>
        <v>#REF!</v>
      </c>
      <c r="W52" s="68" t="e">
        <f>IF(AND('Mapa final'!#REF!="Muy Baja",'Mapa final'!#REF!="Moderado"),CONCATENATE("R7C",'Mapa final'!#REF!),"")</f>
        <v>#REF!</v>
      </c>
      <c r="X52" s="68" t="e">
        <f>IF(AND('Mapa final'!#REF!="Muy Baja",'Mapa final'!#REF!="Moderado"),CONCATENATE("R7C",'Mapa final'!#REF!),"")</f>
        <v>#REF!</v>
      </c>
      <c r="Y52" s="68" t="e">
        <f>IF(AND('Mapa final'!#REF!="Muy Baja",'Mapa final'!#REF!="Moderado"),CONCATENATE("R7C",'Mapa final'!#REF!),"")</f>
        <v>#REF!</v>
      </c>
      <c r="Z52" s="68" t="e">
        <f>IF(AND('Mapa final'!#REF!="Muy Baja",'Mapa final'!#REF!="Moderado"),CONCATENATE("R7C",'Mapa final'!#REF!),"")</f>
        <v>#REF!</v>
      </c>
      <c r="AA52" s="69" t="e">
        <f>IF(AND('Mapa final'!#REF!="Muy Baja",'Mapa final'!#REF!="Moderado"),CONCATENATE("R7C",'Mapa final'!#REF!),"")</f>
        <v>#REF!</v>
      </c>
      <c r="AB52" s="52" t="e">
        <f>IF(AND('Mapa final'!#REF!="Muy Baja",'Mapa final'!#REF!="Mayor"),CONCATENATE("R7C",'Mapa final'!#REF!),"")</f>
        <v>#REF!</v>
      </c>
      <c r="AC52" s="53" t="e">
        <f>IF(AND('Mapa final'!#REF!="Muy Baja",'Mapa final'!#REF!="Mayor"),CONCATENATE("R7C",'Mapa final'!#REF!),"")</f>
        <v>#REF!</v>
      </c>
      <c r="AD52" s="53" t="e">
        <f>IF(AND('Mapa final'!#REF!="Muy Baja",'Mapa final'!#REF!="Mayor"),CONCATENATE("R7C",'Mapa final'!#REF!),"")</f>
        <v>#REF!</v>
      </c>
      <c r="AE52" s="53" t="e">
        <f>IF(AND('Mapa final'!#REF!="Muy Baja",'Mapa final'!#REF!="Mayor"),CONCATENATE("R7C",'Mapa final'!#REF!),"")</f>
        <v>#REF!</v>
      </c>
      <c r="AF52" s="53" t="e">
        <f>IF(AND('Mapa final'!#REF!="Muy Baja",'Mapa final'!#REF!="Mayor"),CONCATENATE("R7C",'Mapa final'!#REF!),"")</f>
        <v>#REF!</v>
      </c>
      <c r="AG52" s="54" t="e">
        <f>IF(AND('Mapa final'!#REF!="Muy Baja",'Mapa final'!#REF!="Mayor"),CONCATENATE("R7C",'Mapa final'!#REF!),"")</f>
        <v>#REF!</v>
      </c>
      <c r="AH52" s="55" t="e">
        <f>IF(AND('Mapa final'!#REF!="Muy Baja",'Mapa final'!#REF!="Catastrófico"),CONCATENATE("R7C",'Mapa final'!#REF!),"")</f>
        <v>#REF!</v>
      </c>
      <c r="AI52" s="56" t="e">
        <f>IF(AND('Mapa final'!#REF!="Muy Baja",'Mapa final'!#REF!="Catastrófico"),CONCATENATE("R7C",'Mapa final'!#REF!),"")</f>
        <v>#REF!</v>
      </c>
      <c r="AJ52" s="56" t="e">
        <f>IF(AND('Mapa final'!#REF!="Muy Baja",'Mapa final'!#REF!="Catastrófico"),CONCATENATE("R7C",'Mapa final'!#REF!),"")</f>
        <v>#REF!</v>
      </c>
      <c r="AK52" s="56" t="e">
        <f>IF(AND('Mapa final'!#REF!="Muy Baja",'Mapa final'!#REF!="Catastrófico"),CONCATENATE("R7C",'Mapa final'!#REF!),"")</f>
        <v>#REF!</v>
      </c>
      <c r="AL52" s="56" t="e">
        <f>IF(AND('Mapa final'!#REF!="Muy Baja",'Mapa final'!#REF!="Catastrófico"),CONCATENATE("R7C",'Mapa final'!#REF!),"")</f>
        <v>#REF!</v>
      </c>
      <c r="AM52" s="57" t="e">
        <f>IF(AND('Mapa final'!#REF!="Muy Baja",'Mapa final'!#REF!="Catastrófico"),CONCATENATE("R7C",'Mapa final'!#REF!),"")</f>
        <v>#REF!</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236"/>
      <c r="C53" s="236"/>
      <c r="D53" s="237"/>
      <c r="E53" s="335"/>
      <c r="F53" s="334"/>
      <c r="G53" s="334"/>
      <c r="H53" s="334"/>
      <c r="I53" s="350"/>
      <c r="J53" s="76" t="e">
        <f>IF(AND('Mapa final'!#REF!="Muy Baja",'Mapa final'!#REF!="Leve"),CONCATENATE("R8C",'Mapa final'!#REF!),"")</f>
        <v>#REF!</v>
      </c>
      <c r="K53" s="77" t="e">
        <f>IF(AND('Mapa final'!#REF!="Muy Baja",'Mapa final'!#REF!="Leve"),CONCATENATE("R8C",'Mapa final'!#REF!),"")</f>
        <v>#REF!</v>
      </c>
      <c r="L53" s="77" t="e">
        <f>IF(AND('Mapa final'!#REF!="Muy Baja",'Mapa final'!#REF!="Leve"),CONCATENATE("R8C",'Mapa final'!#REF!),"")</f>
        <v>#REF!</v>
      </c>
      <c r="M53" s="77" t="e">
        <f>IF(AND('Mapa final'!#REF!="Muy Baja",'Mapa final'!#REF!="Leve"),CONCATENATE("R8C",'Mapa final'!#REF!),"")</f>
        <v>#REF!</v>
      </c>
      <c r="N53" s="77" t="e">
        <f>IF(AND('Mapa final'!#REF!="Muy Baja",'Mapa final'!#REF!="Leve"),CONCATENATE("R8C",'Mapa final'!#REF!),"")</f>
        <v>#REF!</v>
      </c>
      <c r="O53" s="78" t="e">
        <f>IF(AND('Mapa final'!#REF!="Muy Baja",'Mapa final'!#REF!="Leve"),CONCATENATE("R8C",'Mapa final'!#REF!),"")</f>
        <v>#REF!</v>
      </c>
      <c r="P53" s="76" t="e">
        <f>IF(AND('Mapa final'!#REF!="Muy Baja",'Mapa final'!#REF!="Menor"),CONCATENATE("R8C",'Mapa final'!#REF!),"")</f>
        <v>#REF!</v>
      </c>
      <c r="Q53" s="77" t="e">
        <f>IF(AND('Mapa final'!#REF!="Muy Baja",'Mapa final'!#REF!="Menor"),CONCATENATE("R8C",'Mapa final'!#REF!),"")</f>
        <v>#REF!</v>
      </c>
      <c r="R53" s="77" t="e">
        <f>IF(AND('Mapa final'!#REF!="Muy Baja",'Mapa final'!#REF!="Menor"),CONCATENATE("R8C",'Mapa final'!#REF!),"")</f>
        <v>#REF!</v>
      </c>
      <c r="S53" s="77" t="e">
        <f>IF(AND('Mapa final'!#REF!="Muy Baja",'Mapa final'!#REF!="Menor"),CONCATENATE("R8C",'Mapa final'!#REF!),"")</f>
        <v>#REF!</v>
      </c>
      <c r="T53" s="77" t="e">
        <f>IF(AND('Mapa final'!#REF!="Muy Baja",'Mapa final'!#REF!="Menor"),CONCATENATE("R8C",'Mapa final'!#REF!),"")</f>
        <v>#REF!</v>
      </c>
      <c r="U53" s="78" t="e">
        <f>IF(AND('Mapa final'!#REF!="Muy Baja",'Mapa final'!#REF!="Menor"),CONCATENATE("R8C",'Mapa final'!#REF!),"")</f>
        <v>#REF!</v>
      </c>
      <c r="V53" s="67" t="e">
        <f>IF(AND('Mapa final'!#REF!="Muy Baja",'Mapa final'!#REF!="Moderado"),CONCATENATE("R8C",'Mapa final'!#REF!),"")</f>
        <v>#REF!</v>
      </c>
      <c r="W53" s="68" t="e">
        <f>IF(AND('Mapa final'!#REF!="Muy Baja",'Mapa final'!#REF!="Moderado"),CONCATENATE("R8C",'Mapa final'!#REF!),"")</f>
        <v>#REF!</v>
      </c>
      <c r="X53" s="68" t="e">
        <f>IF(AND('Mapa final'!#REF!="Muy Baja",'Mapa final'!#REF!="Moderado"),CONCATENATE("R8C",'Mapa final'!#REF!),"")</f>
        <v>#REF!</v>
      </c>
      <c r="Y53" s="68" t="e">
        <f>IF(AND('Mapa final'!#REF!="Muy Baja",'Mapa final'!#REF!="Moderado"),CONCATENATE("R8C",'Mapa final'!#REF!),"")</f>
        <v>#REF!</v>
      </c>
      <c r="Z53" s="68" t="e">
        <f>IF(AND('Mapa final'!#REF!="Muy Baja",'Mapa final'!#REF!="Moderado"),CONCATENATE("R8C",'Mapa final'!#REF!),"")</f>
        <v>#REF!</v>
      </c>
      <c r="AA53" s="69" t="e">
        <f>IF(AND('Mapa final'!#REF!="Muy Baja",'Mapa final'!#REF!="Moderado"),CONCATENATE("R8C",'Mapa final'!#REF!),"")</f>
        <v>#REF!</v>
      </c>
      <c r="AB53" s="52" t="e">
        <f>IF(AND('Mapa final'!#REF!="Muy Baja",'Mapa final'!#REF!="Mayor"),CONCATENATE("R8C",'Mapa final'!#REF!),"")</f>
        <v>#REF!</v>
      </c>
      <c r="AC53" s="53" t="e">
        <f>IF(AND('Mapa final'!#REF!="Muy Baja",'Mapa final'!#REF!="Mayor"),CONCATENATE("R8C",'Mapa final'!#REF!),"")</f>
        <v>#REF!</v>
      </c>
      <c r="AD53" s="53" t="e">
        <f>IF(AND('Mapa final'!#REF!="Muy Baja",'Mapa final'!#REF!="Mayor"),CONCATENATE("R8C",'Mapa final'!#REF!),"")</f>
        <v>#REF!</v>
      </c>
      <c r="AE53" s="53" t="e">
        <f>IF(AND('Mapa final'!#REF!="Muy Baja",'Mapa final'!#REF!="Mayor"),CONCATENATE("R8C",'Mapa final'!#REF!),"")</f>
        <v>#REF!</v>
      </c>
      <c r="AF53" s="53" t="e">
        <f>IF(AND('Mapa final'!#REF!="Muy Baja",'Mapa final'!#REF!="Mayor"),CONCATENATE("R8C",'Mapa final'!#REF!),"")</f>
        <v>#REF!</v>
      </c>
      <c r="AG53" s="54" t="e">
        <f>IF(AND('Mapa final'!#REF!="Muy Baja",'Mapa final'!#REF!="Mayor"),CONCATENATE("R8C",'Mapa final'!#REF!),"")</f>
        <v>#REF!</v>
      </c>
      <c r="AH53" s="55" t="e">
        <f>IF(AND('Mapa final'!#REF!="Muy Baja",'Mapa final'!#REF!="Catastrófico"),CONCATENATE("R8C",'Mapa final'!#REF!),"")</f>
        <v>#REF!</v>
      </c>
      <c r="AI53" s="56" t="e">
        <f>IF(AND('Mapa final'!#REF!="Muy Baja",'Mapa final'!#REF!="Catastrófico"),CONCATENATE("R8C",'Mapa final'!#REF!),"")</f>
        <v>#REF!</v>
      </c>
      <c r="AJ53" s="56" t="e">
        <f>IF(AND('Mapa final'!#REF!="Muy Baja",'Mapa final'!#REF!="Catastrófico"),CONCATENATE("R8C",'Mapa final'!#REF!),"")</f>
        <v>#REF!</v>
      </c>
      <c r="AK53" s="56" t="e">
        <f>IF(AND('Mapa final'!#REF!="Muy Baja",'Mapa final'!#REF!="Catastrófico"),CONCATENATE("R8C",'Mapa final'!#REF!),"")</f>
        <v>#REF!</v>
      </c>
      <c r="AL53" s="56" t="e">
        <f>IF(AND('Mapa final'!#REF!="Muy Baja",'Mapa final'!#REF!="Catastrófico"),CONCATENATE("R8C",'Mapa final'!#REF!),"")</f>
        <v>#REF!</v>
      </c>
      <c r="AM53" s="57" t="e">
        <f>IF(AND('Mapa final'!#REF!="Muy Baja",'Mapa final'!#REF!="Catastrófico"),CONCATENATE("R8C",'Mapa final'!#REF!),"")</f>
        <v>#REF!</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236"/>
      <c r="C54" s="236"/>
      <c r="D54" s="237"/>
      <c r="E54" s="335"/>
      <c r="F54" s="334"/>
      <c r="G54" s="334"/>
      <c r="H54" s="334"/>
      <c r="I54" s="350"/>
      <c r="J54" s="76" t="str">
        <f>IF(AND('Mapa final'!$Z$25="Muy Baja",'Mapa final'!$AB$25="Leve"),CONCATENATE("R9C",'Mapa final'!$P$25),"")</f>
        <v/>
      </c>
      <c r="K54" s="77" t="str">
        <f>IF(AND('Mapa final'!$Z$26="Muy Baja",'Mapa final'!$AB$26="Leve"),CONCATENATE("R9C",'Mapa final'!$P$26),"")</f>
        <v/>
      </c>
      <c r="L54" s="77" t="str">
        <f>IF(AND('Mapa final'!$Z$27="Muy Baja",'Mapa final'!$AB$27="Leve"),CONCATENATE("R9C",'Mapa final'!$P$27),"")</f>
        <v/>
      </c>
      <c r="M54" s="77" t="e">
        <f>IF(AND('Mapa final'!#REF!="Muy Baja",'Mapa final'!#REF!="Leve"),CONCATENATE("R9C",'Mapa final'!#REF!),"")</f>
        <v>#REF!</v>
      </c>
      <c r="N54" s="77" t="e">
        <f>IF(AND('Mapa final'!#REF!="Muy Baja",'Mapa final'!#REF!="Leve"),CONCATENATE("R9C",'Mapa final'!#REF!),"")</f>
        <v>#REF!</v>
      </c>
      <c r="O54" s="78" t="e">
        <f>IF(AND('Mapa final'!#REF!="Muy Baja",'Mapa final'!#REF!="Leve"),CONCATENATE("R9C",'Mapa final'!#REF!),"")</f>
        <v>#REF!</v>
      </c>
      <c r="P54" s="76" t="str">
        <f>IF(AND('Mapa final'!$Z$25="Muy Baja",'Mapa final'!$AB$25="Menor"),CONCATENATE("R9C",'Mapa final'!$P$25),"")</f>
        <v/>
      </c>
      <c r="Q54" s="77" t="str">
        <f>IF(AND('Mapa final'!$Z$26="Muy Baja",'Mapa final'!$AB$26="Menor"),CONCATENATE("R9C",'Mapa final'!$P$26),"")</f>
        <v/>
      </c>
      <c r="R54" s="77" t="str">
        <f>IF(AND('Mapa final'!$Z$27="Muy Baja",'Mapa final'!$AB$27="Menor"),CONCATENATE("R9C",'Mapa final'!$P$27),"")</f>
        <v/>
      </c>
      <c r="S54" s="77" t="e">
        <f>IF(AND('Mapa final'!#REF!="Muy Baja",'Mapa final'!#REF!="Menor"),CONCATENATE("R9C",'Mapa final'!#REF!),"")</f>
        <v>#REF!</v>
      </c>
      <c r="T54" s="77" t="e">
        <f>IF(AND('Mapa final'!#REF!="Muy Baja",'Mapa final'!#REF!="Menor"),CONCATENATE("R9C",'Mapa final'!#REF!),"")</f>
        <v>#REF!</v>
      </c>
      <c r="U54" s="78" t="e">
        <f>IF(AND('Mapa final'!#REF!="Muy Baja",'Mapa final'!#REF!="Menor"),CONCATENATE("R9C",'Mapa final'!#REF!),"")</f>
        <v>#REF!</v>
      </c>
      <c r="V54" s="67" t="str">
        <f>IF(AND('Mapa final'!$Z$25="Muy Baja",'Mapa final'!$AB$25="Moderado"),CONCATENATE("R9C",'Mapa final'!$P$25),"")</f>
        <v/>
      </c>
      <c r="W54" s="68" t="str">
        <f>IF(AND('Mapa final'!$Z$26="Muy Baja",'Mapa final'!$AB$26="Moderado"),CONCATENATE("R9C",'Mapa final'!$P$26),"")</f>
        <v/>
      </c>
      <c r="X54" s="68" t="str">
        <f>IF(AND('Mapa final'!$Z$27="Muy Baja",'Mapa final'!$AB$27="Moderado"),CONCATENATE("R9C",'Mapa final'!$P$27),"")</f>
        <v/>
      </c>
      <c r="Y54" s="68" t="e">
        <f>IF(AND('Mapa final'!#REF!="Muy Baja",'Mapa final'!#REF!="Moderado"),CONCATENATE("R9C",'Mapa final'!#REF!),"")</f>
        <v>#REF!</v>
      </c>
      <c r="Z54" s="68" t="e">
        <f>IF(AND('Mapa final'!#REF!="Muy Baja",'Mapa final'!#REF!="Moderado"),CONCATENATE("R9C",'Mapa final'!#REF!),"")</f>
        <v>#REF!</v>
      </c>
      <c r="AA54" s="69" t="e">
        <f>IF(AND('Mapa final'!#REF!="Muy Baja",'Mapa final'!#REF!="Moderado"),CONCATENATE("R9C",'Mapa final'!#REF!),"")</f>
        <v>#REF!</v>
      </c>
      <c r="AB54" s="52" t="str">
        <f>IF(AND('Mapa final'!$Z$25="Muy Baja",'Mapa final'!$AB$25="Mayor"),CONCATENATE("R9C",'Mapa final'!$P$25),"")</f>
        <v/>
      </c>
      <c r="AC54" s="53" t="str">
        <f>IF(AND('Mapa final'!$Z$26="Muy Baja",'Mapa final'!$AB$26="Mayor"),CONCATENATE("R9C",'Mapa final'!$P$26),"")</f>
        <v/>
      </c>
      <c r="AD54" s="53" t="str">
        <f>IF(AND('Mapa final'!$Z$27="Muy Baja",'Mapa final'!$AB$27="Mayor"),CONCATENATE("R9C",'Mapa final'!$P$27),"")</f>
        <v/>
      </c>
      <c r="AE54" s="53" t="e">
        <f>IF(AND('Mapa final'!#REF!="Muy Baja",'Mapa final'!#REF!="Mayor"),CONCATENATE("R9C",'Mapa final'!#REF!),"")</f>
        <v>#REF!</v>
      </c>
      <c r="AF54" s="53" t="e">
        <f>IF(AND('Mapa final'!#REF!="Muy Baja",'Mapa final'!#REF!="Mayor"),CONCATENATE("R9C",'Mapa final'!#REF!),"")</f>
        <v>#REF!</v>
      </c>
      <c r="AG54" s="54" t="e">
        <f>IF(AND('Mapa final'!#REF!="Muy Baja",'Mapa final'!#REF!="Mayor"),CONCATENATE("R9C",'Mapa final'!#REF!),"")</f>
        <v>#REF!</v>
      </c>
      <c r="AH54" s="55" t="str">
        <f>IF(AND('Mapa final'!$Z$25="Muy Baja",'Mapa final'!$AB$25="Catastrófico"),CONCATENATE("R9C",'Mapa final'!$P$25),"")</f>
        <v/>
      </c>
      <c r="AI54" s="56" t="str">
        <f>IF(AND('Mapa final'!$Z$26="Muy Baja",'Mapa final'!$AB$26="Catastrófico"),CONCATENATE("R9C",'Mapa final'!$P$26),"")</f>
        <v/>
      </c>
      <c r="AJ54" s="56" t="str">
        <f>IF(AND('Mapa final'!$Z$27="Muy Baja",'Mapa final'!$AB$27="Catastrófico"),CONCATENATE("R9C",'Mapa final'!$P$27),"")</f>
        <v/>
      </c>
      <c r="AK54" s="56" t="e">
        <f>IF(AND('Mapa final'!#REF!="Muy Baja",'Mapa final'!#REF!="Catastrófico"),CONCATENATE("R9C",'Mapa final'!#REF!),"")</f>
        <v>#REF!</v>
      </c>
      <c r="AL54" s="56" t="e">
        <f>IF(AND('Mapa final'!#REF!="Muy Baja",'Mapa final'!#REF!="Catastrófico"),CONCATENATE("R9C",'Mapa final'!#REF!),"")</f>
        <v>#REF!</v>
      </c>
      <c r="AM54" s="57" t="e">
        <f>IF(AND('Mapa final'!#REF!="Muy Baja",'Mapa final'!#REF!="Catastrófico"),CONCATENATE("R9C",'Mapa final'!#REF!),"")</f>
        <v>#REF!</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236"/>
      <c r="C55" s="236"/>
      <c r="D55" s="237"/>
      <c r="E55" s="336"/>
      <c r="F55" s="337"/>
      <c r="G55" s="337"/>
      <c r="H55" s="337"/>
      <c r="I55" s="351"/>
      <c r="J55" s="79" t="str">
        <f>IF(AND('Mapa final'!$Z$28="Muy Baja",'Mapa final'!$AB$28="Leve"),CONCATENATE("R10C",'Mapa final'!$P$28),"")</f>
        <v/>
      </c>
      <c r="K55" s="80" t="str">
        <f>IF(AND('Mapa final'!$Z$29="Muy Baja",'Mapa final'!$AB$29="Leve"),CONCATENATE("R10C",'Mapa final'!$P$29),"")</f>
        <v/>
      </c>
      <c r="L55" s="80" t="str">
        <f>IF(AND('Mapa final'!$Z$30="Muy Baja",'Mapa final'!$AB$30="Leve"),CONCATENATE("R10C",'Mapa final'!$P$30),"")</f>
        <v/>
      </c>
      <c r="M55" s="80" t="e">
        <f>IF(AND('Mapa final'!#REF!="Muy Baja",'Mapa final'!#REF!="Leve"),CONCATENATE("R10C",'Mapa final'!#REF!),"")</f>
        <v>#REF!</v>
      </c>
      <c r="N55" s="80" t="e">
        <f>IF(AND('Mapa final'!#REF!="Muy Baja",'Mapa final'!#REF!="Leve"),CONCATENATE("R10C",'Mapa final'!#REF!),"")</f>
        <v>#REF!</v>
      </c>
      <c r="O55" s="81" t="e">
        <f>IF(AND('Mapa final'!#REF!="Muy Baja",'Mapa final'!#REF!="Leve"),CONCATENATE("R10C",'Mapa final'!#REF!),"")</f>
        <v>#REF!</v>
      </c>
      <c r="P55" s="79" t="str">
        <f>IF(AND('Mapa final'!$Z$28="Muy Baja",'Mapa final'!$AB$28="Menor"),CONCATENATE("R10C",'Mapa final'!$P$28),"")</f>
        <v/>
      </c>
      <c r="Q55" s="80" t="str">
        <f>IF(AND('Mapa final'!$Z$29="Muy Baja",'Mapa final'!$AB$29="Menor"),CONCATENATE("R10C",'Mapa final'!$P$29),"")</f>
        <v/>
      </c>
      <c r="R55" s="80" t="str">
        <f>IF(AND('Mapa final'!$Z$30="Muy Baja",'Mapa final'!$AB$30="Menor"),CONCATENATE("R10C",'Mapa final'!$P$30),"")</f>
        <v/>
      </c>
      <c r="S55" s="80" t="e">
        <f>IF(AND('Mapa final'!#REF!="Muy Baja",'Mapa final'!#REF!="Menor"),CONCATENATE("R10C",'Mapa final'!#REF!),"")</f>
        <v>#REF!</v>
      </c>
      <c r="T55" s="80" t="e">
        <f>IF(AND('Mapa final'!#REF!="Muy Baja",'Mapa final'!#REF!="Menor"),CONCATENATE("R10C",'Mapa final'!#REF!),"")</f>
        <v>#REF!</v>
      </c>
      <c r="U55" s="81" t="e">
        <f>IF(AND('Mapa final'!#REF!="Muy Baja",'Mapa final'!#REF!="Menor"),CONCATENATE("R10C",'Mapa final'!#REF!),"")</f>
        <v>#REF!</v>
      </c>
      <c r="V55" s="70" t="str">
        <f>IF(AND('Mapa final'!$Z$28="Muy Baja",'Mapa final'!$AB$28="Moderado"),CONCATENATE("R10C",'Mapa final'!$P$28),"")</f>
        <v/>
      </c>
      <c r="W55" s="71" t="str">
        <f>IF(AND('Mapa final'!$Z$29="Muy Baja",'Mapa final'!$AB$29="Moderado"),CONCATENATE("R10C",'Mapa final'!$P$29),"")</f>
        <v/>
      </c>
      <c r="X55" s="71" t="str">
        <f>IF(AND('Mapa final'!$Z$30="Muy Baja",'Mapa final'!$AB$30="Moderado"),CONCATENATE("R10C",'Mapa final'!$P$30),"")</f>
        <v/>
      </c>
      <c r="Y55" s="71" t="e">
        <f>IF(AND('Mapa final'!#REF!="Muy Baja",'Mapa final'!#REF!="Moderado"),CONCATENATE("R10C",'Mapa final'!#REF!),"")</f>
        <v>#REF!</v>
      </c>
      <c r="Z55" s="71" t="e">
        <f>IF(AND('Mapa final'!#REF!="Muy Baja",'Mapa final'!#REF!="Moderado"),CONCATENATE("R10C",'Mapa final'!#REF!),"")</f>
        <v>#REF!</v>
      </c>
      <c r="AA55" s="72" t="e">
        <f>IF(AND('Mapa final'!#REF!="Muy Baja",'Mapa final'!#REF!="Moderado"),CONCATENATE("R10C",'Mapa final'!#REF!),"")</f>
        <v>#REF!</v>
      </c>
      <c r="AB55" s="58" t="str">
        <f>IF(AND('Mapa final'!$Z$28="Muy Baja",'Mapa final'!$AB$28="Mayor"),CONCATENATE("R10C",'Mapa final'!$P$28),"")</f>
        <v/>
      </c>
      <c r="AC55" s="59" t="str">
        <f>IF(AND('Mapa final'!$Z$29="Muy Baja",'Mapa final'!$AB$29="Mayor"),CONCATENATE("R10C",'Mapa final'!$P$29),"")</f>
        <v/>
      </c>
      <c r="AD55" s="59" t="str">
        <f>IF(AND('Mapa final'!$Z$30="Muy Baja",'Mapa final'!$AB$30="Mayor"),CONCATENATE("R10C",'Mapa final'!$P$30),"")</f>
        <v/>
      </c>
      <c r="AE55" s="59" t="e">
        <f>IF(AND('Mapa final'!#REF!="Muy Baja",'Mapa final'!#REF!="Mayor"),CONCATENATE("R10C",'Mapa final'!#REF!),"")</f>
        <v>#REF!</v>
      </c>
      <c r="AF55" s="59" t="e">
        <f>IF(AND('Mapa final'!#REF!="Muy Baja",'Mapa final'!#REF!="Mayor"),CONCATENATE("R10C",'Mapa final'!#REF!),"")</f>
        <v>#REF!</v>
      </c>
      <c r="AG55" s="60" t="e">
        <f>IF(AND('Mapa final'!#REF!="Muy Baja",'Mapa final'!#REF!="Mayor"),CONCATENATE("R10C",'Mapa final'!#REF!),"")</f>
        <v>#REF!</v>
      </c>
      <c r="AH55" s="61" t="str">
        <f>IF(AND('Mapa final'!$Z$28="Muy Baja",'Mapa final'!$AB$28="Catastrófico"),CONCATENATE("R10C",'Mapa final'!$P$28),"")</f>
        <v/>
      </c>
      <c r="AI55" s="62" t="str">
        <f>IF(AND('Mapa final'!$Z$29="Muy Baja",'Mapa final'!$AB$29="Catastrófico"),CONCATENATE("R10C",'Mapa final'!$P$29),"")</f>
        <v/>
      </c>
      <c r="AJ55" s="62" t="str">
        <f>IF(AND('Mapa final'!$Z$30="Muy Baja",'Mapa final'!$AB$30="Catastrófico"),CONCATENATE("R10C",'Mapa final'!$P$30),"")</f>
        <v/>
      </c>
      <c r="AK55" s="62" t="e">
        <f>IF(AND('Mapa final'!#REF!="Muy Baja",'Mapa final'!#REF!="Catastrófico"),CONCATENATE("R10C",'Mapa final'!#REF!),"")</f>
        <v>#REF!</v>
      </c>
      <c r="AL55" s="62" t="e">
        <f>IF(AND('Mapa final'!#REF!="Muy Baja",'Mapa final'!#REF!="Catastrófico"),CONCATENATE("R10C",'Mapa final'!#REF!),"")</f>
        <v>#REF!</v>
      </c>
      <c r="AM55" s="63" t="e">
        <f>IF(AND('Mapa final'!#REF!="Muy Baja",'Mapa final'!#REF!="Catastrófico"),CONCATENATE("R10C",'Mapa final'!#REF!),"")</f>
        <v>#REF!</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331" t="s">
        <v>108</v>
      </c>
      <c r="K56" s="332"/>
      <c r="L56" s="332"/>
      <c r="M56" s="332"/>
      <c r="N56" s="332"/>
      <c r="O56" s="349"/>
      <c r="P56" s="331" t="s">
        <v>107</v>
      </c>
      <c r="Q56" s="332"/>
      <c r="R56" s="332"/>
      <c r="S56" s="332"/>
      <c r="T56" s="332"/>
      <c r="U56" s="349"/>
      <c r="V56" s="331" t="s">
        <v>106</v>
      </c>
      <c r="W56" s="332"/>
      <c r="X56" s="332"/>
      <c r="Y56" s="332"/>
      <c r="Z56" s="332"/>
      <c r="AA56" s="349"/>
      <c r="AB56" s="331" t="s">
        <v>105</v>
      </c>
      <c r="AC56" s="370"/>
      <c r="AD56" s="332"/>
      <c r="AE56" s="332"/>
      <c r="AF56" s="332"/>
      <c r="AG56" s="349"/>
      <c r="AH56" s="331" t="s">
        <v>104</v>
      </c>
      <c r="AI56" s="332"/>
      <c r="AJ56" s="332"/>
      <c r="AK56" s="332"/>
      <c r="AL56" s="332"/>
      <c r="AM56" s="349"/>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335"/>
      <c r="K57" s="334"/>
      <c r="L57" s="334"/>
      <c r="M57" s="334"/>
      <c r="N57" s="334"/>
      <c r="O57" s="350"/>
      <c r="P57" s="335"/>
      <c r="Q57" s="334"/>
      <c r="R57" s="334"/>
      <c r="S57" s="334"/>
      <c r="T57" s="334"/>
      <c r="U57" s="350"/>
      <c r="V57" s="335"/>
      <c r="W57" s="334"/>
      <c r="X57" s="334"/>
      <c r="Y57" s="334"/>
      <c r="Z57" s="334"/>
      <c r="AA57" s="350"/>
      <c r="AB57" s="335"/>
      <c r="AC57" s="334"/>
      <c r="AD57" s="334"/>
      <c r="AE57" s="334"/>
      <c r="AF57" s="334"/>
      <c r="AG57" s="350"/>
      <c r="AH57" s="335"/>
      <c r="AI57" s="334"/>
      <c r="AJ57" s="334"/>
      <c r="AK57" s="334"/>
      <c r="AL57" s="334"/>
      <c r="AM57" s="350"/>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335"/>
      <c r="K58" s="334"/>
      <c r="L58" s="334"/>
      <c r="M58" s="334"/>
      <c r="N58" s="334"/>
      <c r="O58" s="350"/>
      <c r="P58" s="335"/>
      <c r="Q58" s="334"/>
      <c r="R58" s="334"/>
      <c r="S58" s="334"/>
      <c r="T58" s="334"/>
      <c r="U58" s="350"/>
      <c r="V58" s="335"/>
      <c r="W58" s="334"/>
      <c r="X58" s="334"/>
      <c r="Y58" s="334"/>
      <c r="Z58" s="334"/>
      <c r="AA58" s="350"/>
      <c r="AB58" s="335"/>
      <c r="AC58" s="334"/>
      <c r="AD58" s="334"/>
      <c r="AE58" s="334"/>
      <c r="AF58" s="334"/>
      <c r="AG58" s="350"/>
      <c r="AH58" s="335"/>
      <c r="AI58" s="334"/>
      <c r="AJ58" s="334"/>
      <c r="AK58" s="334"/>
      <c r="AL58" s="334"/>
      <c r="AM58" s="350"/>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335"/>
      <c r="K59" s="334"/>
      <c r="L59" s="334"/>
      <c r="M59" s="334"/>
      <c r="N59" s="334"/>
      <c r="O59" s="350"/>
      <c r="P59" s="335"/>
      <c r="Q59" s="334"/>
      <c r="R59" s="334"/>
      <c r="S59" s="334"/>
      <c r="T59" s="334"/>
      <c r="U59" s="350"/>
      <c r="V59" s="335"/>
      <c r="W59" s="334"/>
      <c r="X59" s="334"/>
      <c r="Y59" s="334"/>
      <c r="Z59" s="334"/>
      <c r="AA59" s="350"/>
      <c r="AB59" s="335"/>
      <c r="AC59" s="334"/>
      <c r="AD59" s="334"/>
      <c r="AE59" s="334"/>
      <c r="AF59" s="334"/>
      <c r="AG59" s="350"/>
      <c r="AH59" s="335"/>
      <c r="AI59" s="334"/>
      <c r="AJ59" s="334"/>
      <c r="AK59" s="334"/>
      <c r="AL59" s="334"/>
      <c r="AM59" s="350"/>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335"/>
      <c r="K60" s="334"/>
      <c r="L60" s="334"/>
      <c r="M60" s="334"/>
      <c r="N60" s="334"/>
      <c r="O60" s="350"/>
      <c r="P60" s="335"/>
      <c r="Q60" s="334"/>
      <c r="R60" s="334"/>
      <c r="S60" s="334"/>
      <c r="T60" s="334"/>
      <c r="U60" s="350"/>
      <c r="V60" s="335"/>
      <c r="W60" s="334"/>
      <c r="X60" s="334"/>
      <c r="Y60" s="334"/>
      <c r="Z60" s="334"/>
      <c r="AA60" s="350"/>
      <c r="AB60" s="335"/>
      <c r="AC60" s="334"/>
      <c r="AD60" s="334"/>
      <c r="AE60" s="334"/>
      <c r="AF60" s="334"/>
      <c r="AG60" s="350"/>
      <c r="AH60" s="335"/>
      <c r="AI60" s="334"/>
      <c r="AJ60" s="334"/>
      <c r="AK60" s="334"/>
      <c r="AL60" s="334"/>
      <c r="AM60" s="350"/>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336"/>
      <c r="K61" s="337"/>
      <c r="L61" s="337"/>
      <c r="M61" s="337"/>
      <c r="N61" s="337"/>
      <c r="O61" s="351"/>
      <c r="P61" s="336"/>
      <c r="Q61" s="337"/>
      <c r="R61" s="337"/>
      <c r="S61" s="337"/>
      <c r="T61" s="337"/>
      <c r="U61" s="351"/>
      <c r="V61" s="336"/>
      <c r="W61" s="337"/>
      <c r="X61" s="337"/>
      <c r="Y61" s="337"/>
      <c r="Z61" s="337"/>
      <c r="AA61" s="351"/>
      <c r="AB61" s="336"/>
      <c r="AC61" s="337"/>
      <c r="AD61" s="337"/>
      <c r="AE61" s="337"/>
      <c r="AF61" s="337"/>
      <c r="AG61" s="351"/>
      <c r="AH61" s="336"/>
      <c r="AI61" s="337"/>
      <c r="AJ61" s="337"/>
      <c r="AK61" s="337"/>
      <c r="AL61" s="337"/>
      <c r="AM61" s="351"/>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3"/>
      <c r="AV63" s="83"/>
      <c r="AW63" s="83"/>
      <c r="AX63" s="83"/>
      <c r="AY63" s="83"/>
      <c r="AZ63" s="83"/>
      <c r="BA63" s="83"/>
      <c r="BB63" s="83"/>
      <c r="BC63" s="83"/>
      <c r="BD63" s="83"/>
      <c r="BE63" s="83"/>
      <c r="BF63" s="83"/>
      <c r="BG63" s="83"/>
      <c r="BH63" s="83"/>
    </row>
    <row r="64" spans="1:80" ht="15" customHeight="1" x14ac:dyDescent="0.25">
      <c r="A64" s="83"/>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3"/>
      <c r="B1" s="371" t="s">
        <v>51</v>
      </c>
      <c r="C1" s="371"/>
      <c r="D1" s="371"/>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48</v>
      </c>
      <c r="D3" s="12" t="s">
        <v>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47</v>
      </c>
      <c r="C4" s="14" t="s">
        <v>98</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49</v>
      </c>
      <c r="C5" s="17" t="s">
        <v>99</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103</v>
      </c>
      <c r="C6" s="17" t="s">
        <v>100</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6</v>
      </c>
      <c r="C7" s="17" t="s">
        <v>101</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50</v>
      </c>
      <c r="C8" s="17" t="s">
        <v>102</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7"/>
      <c r="C9" s="107"/>
      <c r="D9" s="107"/>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8"/>
      <c r="C10" s="107"/>
      <c r="D10" s="107"/>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7"/>
      <c r="C11" s="107"/>
      <c r="D11" s="107"/>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7"/>
      <c r="C12" s="107"/>
      <c r="D12" s="107"/>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7"/>
      <c r="C13" s="107"/>
      <c r="D13" s="107"/>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7"/>
      <c r="C14" s="107"/>
      <c r="D14" s="107"/>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7"/>
      <c r="C15" s="107"/>
      <c r="D15" s="107"/>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7"/>
      <c r="C16" s="107"/>
      <c r="D16" s="107"/>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7"/>
      <c r="C17" s="107"/>
      <c r="D17" s="107"/>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7"/>
      <c r="C18" s="107"/>
      <c r="D18" s="107"/>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372" t="s">
        <v>59</v>
      </c>
      <c r="C1" s="372"/>
      <c r="D1" s="372"/>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60" x14ac:dyDescent="0.25">
      <c r="A3" s="83"/>
      <c r="B3" s="104"/>
      <c r="C3" s="36" t="s">
        <v>52</v>
      </c>
      <c r="D3" s="36" t="s">
        <v>53</v>
      </c>
      <c r="E3" s="83"/>
      <c r="F3" s="83"/>
      <c r="G3" s="83"/>
      <c r="H3" s="83"/>
      <c r="I3" s="83"/>
      <c r="J3" s="83"/>
      <c r="K3" s="83"/>
      <c r="L3" s="83"/>
      <c r="M3" s="83"/>
      <c r="N3" s="83"/>
      <c r="O3" s="83"/>
      <c r="P3" s="83"/>
      <c r="Q3" s="83"/>
      <c r="R3" s="83"/>
      <c r="S3" s="83"/>
      <c r="T3" s="83"/>
      <c r="U3" s="83"/>
    </row>
    <row r="4" spans="1:21" ht="33.75" x14ac:dyDescent="0.25">
      <c r="A4" s="103" t="s">
        <v>79</v>
      </c>
      <c r="B4" s="39" t="s">
        <v>97</v>
      </c>
      <c r="C4" s="44" t="s">
        <v>152</v>
      </c>
      <c r="D4" s="37" t="s">
        <v>93</v>
      </c>
      <c r="E4" s="83"/>
      <c r="F4" s="83"/>
      <c r="G4" s="83"/>
      <c r="H4" s="83"/>
      <c r="I4" s="83"/>
      <c r="J4" s="83"/>
      <c r="K4" s="83"/>
      <c r="L4" s="83"/>
      <c r="M4" s="83"/>
      <c r="N4" s="83"/>
      <c r="O4" s="83"/>
      <c r="P4" s="83"/>
      <c r="Q4" s="83"/>
      <c r="R4" s="83"/>
      <c r="S4" s="83"/>
      <c r="T4" s="83"/>
      <c r="U4" s="83"/>
    </row>
    <row r="5" spans="1:21" ht="101.25" x14ac:dyDescent="0.25">
      <c r="A5" s="103" t="s">
        <v>80</v>
      </c>
      <c r="B5" s="40" t="s">
        <v>55</v>
      </c>
      <c r="C5" s="45" t="s">
        <v>89</v>
      </c>
      <c r="D5" s="38" t="s">
        <v>94</v>
      </c>
      <c r="E5" s="83"/>
      <c r="F5" s="83"/>
      <c r="G5" s="83"/>
      <c r="H5" s="83"/>
      <c r="I5" s="83"/>
      <c r="J5" s="83"/>
      <c r="K5" s="83"/>
      <c r="L5" s="83"/>
      <c r="M5" s="83"/>
      <c r="N5" s="83"/>
      <c r="O5" s="83"/>
      <c r="P5" s="83"/>
      <c r="Q5" s="83"/>
      <c r="R5" s="83"/>
      <c r="S5" s="83"/>
      <c r="T5" s="83"/>
      <c r="U5" s="83"/>
    </row>
    <row r="6" spans="1:21" ht="67.5" x14ac:dyDescent="0.25">
      <c r="A6" s="103" t="s">
        <v>77</v>
      </c>
      <c r="B6" s="41" t="s">
        <v>56</v>
      </c>
      <c r="C6" s="45" t="s">
        <v>90</v>
      </c>
      <c r="D6" s="38" t="s">
        <v>96</v>
      </c>
      <c r="E6" s="83"/>
      <c r="F6" s="83"/>
      <c r="G6" s="83"/>
      <c r="H6" s="83"/>
      <c r="I6" s="83"/>
      <c r="J6" s="83"/>
      <c r="K6" s="83"/>
      <c r="L6" s="83"/>
      <c r="M6" s="83"/>
      <c r="N6" s="83"/>
      <c r="O6" s="83"/>
      <c r="P6" s="83"/>
      <c r="Q6" s="83"/>
      <c r="R6" s="83"/>
      <c r="S6" s="83"/>
      <c r="T6" s="83"/>
      <c r="U6" s="83"/>
    </row>
    <row r="7" spans="1:21" ht="101.25" x14ac:dyDescent="0.25">
      <c r="A7" s="103" t="s">
        <v>7</v>
      </c>
      <c r="B7" s="42" t="s">
        <v>57</v>
      </c>
      <c r="C7" s="45" t="s">
        <v>91</v>
      </c>
      <c r="D7" s="38" t="s">
        <v>95</v>
      </c>
      <c r="E7" s="83"/>
      <c r="F7" s="83"/>
      <c r="G7" s="83"/>
      <c r="H7" s="83"/>
      <c r="I7" s="83"/>
      <c r="J7" s="83"/>
      <c r="K7" s="83"/>
      <c r="L7" s="83"/>
      <c r="M7" s="83"/>
      <c r="N7" s="83"/>
      <c r="O7" s="83"/>
      <c r="P7" s="83"/>
      <c r="Q7" s="83"/>
      <c r="R7" s="83"/>
      <c r="S7" s="83"/>
      <c r="T7" s="83"/>
      <c r="U7" s="83"/>
    </row>
    <row r="8" spans="1:21" ht="67.5" x14ac:dyDescent="0.25">
      <c r="A8" s="103" t="s">
        <v>81</v>
      </c>
      <c r="B8" s="43" t="s">
        <v>58</v>
      </c>
      <c r="C8" s="45" t="s">
        <v>92</v>
      </c>
      <c r="D8" s="38" t="s">
        <v>114</v>
      </c>
      <c r="E8" s="83"/>
      <c r="F8" s="83"/>
      <c r="G8" s="83"/>
      <c r="H8" s="83"/>
      <c r="I8" s="83"/>
      <c r="J8" s="83"/>
      <c r="K8" s="83"/>
      <c r="L8" s="83"/>
      <c r="M8" s="83"/>
      <c r="N8" s="83"/>
      <c r="O8" s="83"/>
      <c r="P8" s="83"/>
      <c r="Q8" s="83"/>
      <c r="R8" s="83"/>
      <c r="S8" s="83"/>
      <c r="T8" s="83"/>
      <c r="U8" s="83"/>
    </row>
    <row r="9" spans="1:21" ht="20.25" x14ac:dyDescent="0.25">
      <c r="A9" s="103"/>
      <c r="B9" s="103"/>
      <c r="C9" s="105"/>
      <c r="D9" s="105"/>
      <c r="E9" s="83"/>
      <c r="F9" s="83"/>
      <c r="G9" s="83"/>
      <c r="H9" s="83"/>
      <c r="I9" s="83"/>
      <c r="J9" s="83"/>
      <c r="K9" s="83"/>
      <c r="L9" s="83"/>
      <c r="M9" s="83"/>
      <c r="N9" s="83"/>
      <c r="O9" s="83"/>
      <c r="P9" s="83"/>
      <c r="Q9" s="83"/>
      <c r="R9" s="83"/>
      <c r="S9" s="83"/>
      <c r="T9" s="83"/>
      <c r="U9" s="83"/>
    </row>
    <row r="10" spans="1:21" ht="16.5" x14ac:dyDescent="0.25">
      <c r="A10" s="103"/>
      <c r="B10" s="106"/>
      <c r="C10" s="106"/>
      <c r="D10" s="106"/>
      <c r="E10" s="83"/>
      <c r="F10" s="83"/>
      <c r="G10" s="83"/>
      <c r="H10" s="83"/>
      <c r="I10" s="83"/>
      <c r="J10" s="83"/>
      <c r="K10" s="83"/>
      <c r="L10" s="83"/>
      <c r="M10" s="83"/>
      <c r="N10" s="83"/>
      <c r="O10" s="83"/>
      <c r="P10" s="83"/>
      <c r="Q10" s="83"/>
      <c r="R10" s="83"/>
      <c r="S10" s="83"/>
      <c r="T10" s="83"/>
      <c r="U10" s="83"/>
    </row>
    <row r="11" spans="1:21" x14ac:dyDescent="0.25">
      <c r="A11" s="103"/>
      <c r="B11" s="103" t="s">
        <v>87</v>
      </c>
      <c r="C11" s="103" t="s">
        <v>140</v>
      </c>
      <c r="D11" s="103" t="s">
        <v>147</v>
      </c>
      <c r="E11" s="83"/>
      <c r="F11" s="83"/>
      <c r="G11" s="83"/>
      <c r="H11" s="83"/>
      <c r="I11" s="83"/>
      <c r="J11" s="83"/>
      <c r="K11" s="83"/>
      <c r="L11" s="83"/>
      <c r="M11" s="83"/>
      <c r="N11" s="83"/>
      <c r="O11" s="83"/>
      <c r="P11" s="83"/>
      <c r="Q11" s="83"/>
      <c r="R11" s="83"/>
      <c r="S11" s="83"/>
      <c r="T11" s="83"/>
      <c r="U11" s="83"/>
    </row>
    <row r="12" spans="1:21" x14ac:dyDescent="0.25">
      <c r="A12" s="103"/>
      <c r="B12" s="103" t="s">
        <v>85</v>
      </c>
      <c r="C12" s="103" t="s">
        <v>144</v>
      </c>
      <c r="D12" s="103" t="s">
        <v>148</v>
      </c>
      <c r="E12" s="83"/>
      <c r="F12" s="83"/>
      <c r="G12" s="83"/>
      <c r="H12" s="83"/>
      <c r="I12" s="83"/>
      <c r="J12" s="83"/>
      <c r="K12" s="83"/>
      <c r="L12" s="83"/>
      <c r="M12" s="83"/>
      <c r="N12" s="83"/>
      <c r="O12" s="83"/>
      <c r="P12" s="83"/>
      <c r="Q12" s="83"/>
      <c r="R12" s="83"/>
      <c r="S12" s="83"/>
      <c r="T12" s="83"/>
      <c r="U12" s="83"/>
    </row>
    <row r="13" spans="1:21" x14ac:dyDescent="0.25">
      <c r="A13" s="103"/>
      <c r="B13" s="103"/>
      <c r="C13" s="103" t="s">
        <v>143</v>
      </c>
      <c r="D13" s="103" t="s">
        <v>149</v>
      </c>
      <c r="E13" s="83"/>
      <c r="F13" s="83"/>
      <c r="G13" s="83"/>
      <c r="H13" s="83"/>
      <c r="I13" s="83"/>
      <c r="J13" s="83"/>
      <c r="K13" s="83"/>
      <c r="L13" s="83"/>
      <c r="M13" s="83"/>
      <c r="N13" s="83"/>
      <c r="O13" s="83"/>
      <c r="P13" s="83"/>
      <c r="Q13" s="83"/>
      <c r="R13" s="83"/>
      <c r="S13" s="83"/>
      <c r="T13" s="83"/>
      <c r="U13" s="83"/>
    </row>
    <row r="14" spans="1:21" x14ac:dyDescent="0.25">
      <c r="A14" s="103"/>
      <c r="B14" s="103"/>
      <c r="C14" s="103" t="s">
        <v>145</v>
      </c>
      <c r="D14" s="103" t="s">
        <v>150</v>
      </c>
      <c r="E14" s="83"/>
      <c r="F14" s="83"/>
      <c r="G14" s="83"/>
      <c r="H14" s="83"/>
      <c r="I14" s="83"/>
      <c r="J14" s="83"/>
      <c r="K14" s="83"/>
      <c r="L14" s="83"/>
      <c r="M14" s="83"/>
      <c r="N14" s="83"/>
      <c r="O14" s="83"/>
      <c r="P14" s="83"/>
      <c r="Q14" s="83"/>
      <c r="R14" s="83"/>
      <c r="S14" s="83"/>
      <c r="T14" s="83"/>
      <c r="U14" s="83"/>
    </row>
    <row r="15" spans="1:21" x14ac:dyDescent="0.25">
      <c r="A15" s="103"/>
      <c r="B15" s="103"/>
      <c r="C15" s="103" t="s">
        <v>146</v>
      </c>
      <c r="D15" s="103" t="s">
        <v>151</v>
      </c>
      <c r="E15" s="83"/>
      <c r="F15" s="83"/>
      <c r="G15" s="83"/>
      <c r="H15" s="83"/>
      <c r="I15" s="83"/>
      <c r="J15" s="83"/>
      <c r="K15" s="83"/>
      <c r="L15" s="83"/>
      <c r="M15" s="83"/>
      <c r="N15" s="83"/>
      <c r="O15" s="83"/>
      <c r="P15" s="83"/>
      <c r="Q15" s="83"/>
      <c r="R15" s="83"/>
      <c r="S15" s="83"/>
      <c r="T15" s="83"/>
      <c r="U15" s="83"/>
    </row>
    <row r="16" spans="1:21" x14ac:dyDescent="0.25">
      <c r="A16" s="103"/>
      <c r="B16" s="103"/>
      <c r="C16" s="103"/>
      <c r="D16" s="103"/>
      <c r="E16" s="83"/>
      <c r="F16" s="83"/>
      <c r="G16" s="83"/>
      <c r="H16" s="83"/>
      <c r="I16" s="83"/>
      <c r="J16" s="83"/>
      <c r="K16" s="83"/>
      <c r="L16" s="83"/>
      <c r="M16" s="83"/>
      <c r="N16" s="83"/>
      <c r="O16" s="83"/>
    </row>
    <row r="17" spans="1:15" x14ac:dyDescent="0.25">
      <c r="A17" s="103"/>
      <c r="B17" s="103"/>
      <c r="C17" s="103"/>
      <c r="D17" s="103"/>
      <c r="E17" s="83"/>
      <c r="F17" s="83"/>
      <c r="G17" s="83"/>
      <c r="H17" s="83"/>
      <c r="I17" s="83"/>
      <c r="J17" s="83"/>
      <c r="K17" s="83"/>
      <c r="L17" s="83"/>
      <c r="M17" s="83"/>
      <c r="N17" s="83"/>
      <c r="O17" s="83"/>
    </row>
    <row r="18" spans="1:15" x14ac:dyDescent="0.25">
      <c r="A18" s="103"/>
      <c r="B18" s="107"/>
      <c r="C18" s="107"/>
      <c r="D18" s="107"/>
      <c r="E18" s="83"/>
      <c r="F18" s="83"/>
      <c r="G18" s="83"/>
      <c r="H18" s="83"/>
      <c r="I18" s="83"/>
      <c r="J18" s="83"/>
      <c r="K18" s="83"/>
      <c r="L18" s="83"/>
      <c r="M18" s="83"/>
      <c r="N18" s="83"/>
      <c r="O18" s="83"/>
    </row>
    <row r="19" spans="1:15" x14ac:dyDescent="0.25">
      <c r="A19" s="103"/>
      <c r="B19" s="107"/>
      <c r="C19" s="107"/>
      <c r="D19" s="107"/>
      <c r="E19" s="83"/>
      <c r="F19" s="83"/>
      <c r="G19" s="83"/>
      <c r="H19" s="83"/>
      <c r="I19" s="83"/>
      <c r="J19" s="83"/>
      <c r="K19" s="83"/>
      <c r="L19" s="83"/>
      <c r="M19" s="83"/>
      <c r="N19" s="83"/>
      <c r="O19" s="83"/>
    </row>
    <row r="20" spans="1:15" x14ac:dyDescent="0.25">
      <c r="A20" s="103"/>
      <c r="B20" s="107"/>
      <c r="C20" s="107"/>
      <c r="D20" s="107"/>
      <c r="E20" s="83"/>
      <c r="F20" s="83"/>
      <c r="G20" s="83"/>
      <c r="H20" s="83"/>
      <c r="I20" s="83"/>
      <c r="J20" s="83"/>
      <c r="K20" s="83"/>
      <c r="L20" s="83"/>
      <c r="M20" s="83"/>
      <c r="N20" s="83"/>
      <c r="O20" s="83"/>
    </row>
    <row r="21" spans="1:15" x14ac:dyDescent="0.25">
      <c r="A21" s="103"/>
      <c r="B21" s="107"/>
      <c r="C21" s="107"/>
      <c r="D21" s="107"/>
      <c r="E21" s="83"/>
      <c r="F21" s="83"/>
      <c r="G21" s="83"/>
      <c r="H21" s="83"/>
      <c r="I21" s="83"/>
      <c r="J21" s="83"/>
      <c r="K21" s="83"/>
      <c r="L21" s="83"/>
      <c r="M21" s="83"/>
      <c r="N21" s="83"/>
      <c r="O21" s="83"/>
    </row>
    <row r="22" spans="1:15" ht="20.25" x14ac:dyDescent="0.25">
      <c r="A22" s="103"/>
      <c r="B22" s="103"/>
      <c r="C22" s="105"/>
      <c r="D22" s="105"/>
      <c r="E22" s="83"/>
      <c r="F22" s="83"/>
      <c r="G22" s="83"/>
      <c r="H22" s="83"/>
      <c r="I22" s="83"/>
      <c r="J22" s="83"/>
      <c r="K22" s="83"/>
      <c r="L22" s="83"/>
      <c r="M22" s="83"/>
      <c r="N22" s="83"/>
      <c r="O22" s="83"/>
    </row>
    <row r="23" spans="1:15" ht="20.25" x14ac:dyDescent="0.25">
      <c r="A23" s="103"/>
      <c r="B23" s="103"/>
      <c r="C23" s="105"/>
      <c r="D23" s="105"/>
      <c r="E23" s="83"/>
      <c r="F23" s="83"/>
      <c r="G23" s="83"/>
      <c r="H23" s="83"/>
      <c r="I23" s="83"/>
      <c r="J23" s="83"/>
      <c r="K23" s="83"/>
      <c r="L23" s="83"/>
      <c r="M23" s="83"/>
      <c r="N23" s="83"/>
      <c r="O23" s="83"/>
    </row>
    <row r="24" spans="1:15" ht="20.25" x14ac:dyDescent="0.25">
      <c r="A24" s="103"/>
      <c r="B24" s="103"/>
      <c r="C24" s="105"/>
      <c r="D24" s="105"/>
      <c r="E24" s="83"/>
      <c r="F24" s="83"/>
      <c r="G24" s="83"/>
      <c r="H24" s="83"/>
      <c r="I24" s="83"/>
      <c r="J24" s="83"/>
      <c r="K24" s="83"/>
      <c r="L24" s="83"/>
      <c r="M24" s="83"/>
      <c r="N24" s="83"/>
      <c r="O24" s="83"/>
    </row>
    <row r="25" spans="1:15" ht="20.25" x14ac:dyDescent="0.25">
      <c r="A25" s="103"/>
      <c r="B25" s="103"/>
      <c r="C25" s="105"/>
      <c r="D25" s="105"/>
      <c r="E25" s="83"/>
      <c r="F25" s="83"/>
      <c r="G25" s="83"/>
      <c r="H25" s="83"/>
      <c r="I25" s="83"/>
      <c r="J25" s="83"/>
      <c r="K25" s="83"/>
      <c r="L25" s="83"/>
      <c r="M25" s="83"/>
      <c r="N25" s="83"/>
      <c r="O25" s="83"/>
    </row>
    <row r="26" spans="1:15" ht="20.25" x14ac:dyDescent="0.25">
      <c r="A26" s="103"/>
      <c r="B26" s="103"/>
      <c r="C26" s="105"/>
      <c r="D26" s="105"/>
      <c r="E26" s="83"/>
      <c r="F26" s="83"/>
      <c r="G26" s="83"/>
      <c r="H26" s="83"/>
      <c r="I26" s="83"/>
      <c r="J26" s="83"/>
      <c r="K26" s="83"/>
      <c r="L26" s="83"/>
      <c r="M26" s="83"/>
      <c r="N26" s="83"/>
      <c r="O26" s="83"/>
    </row>
    <row r="27" spans="1:15" ht="20.25" x14ac:dyDescent="0.25">
      <c r="A27" s="103"/>
      <c r="B27" s="103"/>
      <c r="C27" s="105"/>
      <c r="D27" s="105"/>
      <c r="E27" s="83"/>
      <c r="F27" s="83"/>
      <c r="G27" s="83"/>
      <c r="H27" s="83"/>
      <c r="I27" s="83"/>
      <c r="J27" s="83"/>
      <c r="K27" s="83"/>
      <c r="L27" s="83"/>
      <c r="M27" s="83"/>
      <c r="N27" s="83"/>
      <c r="O27" s="83"/>
    </row>
    <row r="28" spans="1:15" ht="20.25" x14ac:dyDescent="0.25">
      <c r="A28" s="103"/>
      <c r="B28" s="103"/>
      <c r="C28" s="105"/>
      <c r="D28" s="105"/>
      <c r="E28" s="83"/>
      <c r="F28" s="83"/>
      <c r="G28" s="83"/>
      <c r="H28" s="83"/>
      <c r="I28" s="83"/>
      <c r="J28" s="83"/>
      <c r="K28" s="83"/>
      <c r="L28" s="83"/>
      <c r="M28" s="83"/>
      <c r="N28" s="83"/>
      <c r="O28" s="83"/>
    </row>
    <row r="29" spans="1:15" ht="20.25" x14ac:dyDescent="0.25">
      <c r="A29" s="103"/>
      <c r="B29" s="103"/>
      <c r="C29" s="105"/>
      <c r="D29" s="105"/>
      <c r="E29" s="83"/>
      <c r="F29" s="83"/>
      <c r="G29" s="83"/>
      <c r="H29" s="83"/>
      <c r="I29" s="83"/>
      <c r="J29" s="83"/>
      <c r="K29" s="83"/>
      <c r="L29" s="83"/>
      <c r="M29" s="83"/>
      <c r="N29" s="83"/>
      <c r="O29" s="83"/>
    </row>
    <row r="30" spans="1:15" ht="20.25" x14ac:dyDescent="0.25">
      <c r="A30" s="103"/>
      <c r="B30" s="103"/>
      <c r="C30" s="105"/>
      <c r="D30" s="105"/>
      <c r="E30" s="83"/>
      <c r="F30" s="83"/>
      <c r="G30" s="83"/>
      <c r="H30" s="83"/>
      <c r="I30" s="83"/>
      <c r="J30" s="83"/>
      <c r="K30" s="83"/>
      <c r="L30" s="83"/>
      <c r="M30" s="83"/>
      <c r="N30" s="83"/>
      <c r="O30" s="83"/>
    </row>
    <row r="31" spans="1:15" ht="20.25" x14ac:dyDescent="0.25">
      <c r="A31" s="103"/>
      <c r="B31" s="103"/>
      <c r="C31" s="105"/>
      <c r="D31" s="105"/>
      <c r="E31" s="83"/>
      <c r="F31" s="83"/>
      <c r="G31" s="83"/>
      <c r="H31" s="83"/>
      <c r="I31" s="83"/>
      <c r="J31" s="83"/>
      <c r="K31" s="83"/>
      <c r="L31" s="83"/>
      <c r="M31" s="83"/>
      <c r="N31" s="83"/>
      <c r="O31" s="83"/>
    </row>
    <row r="32" spans="1:15" ht="20.25" x14ac:dyDescent="0.25">
      <c r="A32" s="103"/>
      <c r="B32" s="103"/>
      <c r="C32" s="105"/>
      <c r="D32" s="105"/>
      <c r="E32" s="83"/>
      <c r="F32" s="83"/>
      <c r="G32" s="83"/>
      <c r="H32" s="83"/>
      <c r="I32" s="83"/>
      <c r="J32" s="83"/>
      <c r="K32" s="83"/>
      <c r="L32" s="83"/>
      <c r="M32" s="83"/>
      <c r="N32" s="83"/>
      <c r="O32" s="83"/>
    </row>
    <row r="33" spans="1:15" ht="20.25" x14ac:dyDescent="0.25">
      <c r="A33" s="103"/>
      <c r="B33" s="103"/>
      <c r="C33" s="105"/>
      <c r="D33" s="105"/>
      <c r="E33" s="83"/>
      <c r="F33" s="83"/>
      <c r="G33" s="83"/>
      <c r="H33" s="83"/>
      <c r="I33" s="83"/>
      <c r="J33" s="83"/>
      <c r="K33" s="83"/>
      <c r="L33" s="83"/>
      <c r="M33" s="83"/>
      <c r="N33" s="83"/>
      <c r="O33" s="83"/>
    </row>
    <row r="34" spans="1:15" ht="20.25" x14ac:dyDescent="0.25">
      <c r="A34" s="103"/>
      <c r="B34" s="103"/>
      <c r="C34" s="105"/>
      <c r="D34" s="105"/>
      <c r="E34" s="83"/>
      <c r="F34" s="83"/>
      <c r="G34" s="83"/>
      <c r="H34" s="83"/>
      <c r="I34" s="83"/>
      <c r="J34" s="83"/>
      <c r="K34" s="83"/>
      <c r="L34" s="83"/>
      <c r="M34" s="83"/>
      <c r="N34" s="83"/>
      <c r="O34" s="83"/>
    </row>
    <row r="35" spans="1:15" ht="20.25" x14ac:dyDescent="0.25">
      <c r="A35" s="103"/>
      <c r="B35" s="103"/>
      <c r="C35" s="105"/>
      <c r="D35" s="105"/>
      <c r="E35" s="83"/>
      <c r="F35" s="83"/>
      <c r="G35" s="83"/>
      <c r="H35" s="83"/>
      <c r="I35" s="83"/>
      <c r="J35" s="83"/>
      <c r="K35" s="83"/>
      <c r="L35" s="83"/>
      <c r="M35" s="83"/>
      <c r="N35" s="83"/>
      <c r="O35" s="83"/>
    </row>
    <row r="36" spans="1:15" ht="20.25" x14ac:dyDescent="0.25">
      <c r="A36" s="103"/>
      <c r="B36" s="103"/>
      <c r="C36" s="105"/>
      <c r="D36" s="105"/>
      <c r="E36" s="83"/>
      <c r="F36" s="83"/>
      <c r="G36" s="83"/>
      <c r="H36" s="83"/>
      <c r="I36" s="83"/>
      <c r="J36" s="83"/>
      <c r="K36" s="83"/>
      <c r="L36" s="83"/>
      <c r="M36" s="83"/>
      <c r="N36" s="83"/>
      <c r="O36" s="83"/>
    </row>
    <row r="37" spans="1:15" ht="20.25" x14ac:dyDescent="0.25">
      <c r="A37" s="103"/>
      <c r="B37" s="103"/>
      <c r="C37" s="105"/>
      <c r="D37" s="105"/>
      <c r="E37" s="83"/>
      <c r="F37" s="83"/>
      <c r="G37" s="83"/>
      <c r="H37" s="83"/>
      <c r="I37" s="83"/>
      <c r="J37" s="83"/>
      <c r="K37" s="83"/>
      <c r="L37" s="83"/>
      <c r="M37" s="83"/>
      <c r="N37" s="83"/>
      <c r="O37" s="83"/>
    </row>
    <row r="38" spans="1:15" ht="20.25" x14ac:dyDescent="0.25">
      <c r="A38" s="103"/>
      <c r="B38" s="103"/>
      <c r="C38" s="105"/>
      <c r="D38" s="105"/>
      <c r="E38" s="83"/>
      <c r="F38" s="83"/>
      <c r="G38" s="83"/>
      <c r="H38" s="83"/>
      <c r="I38" s="83"/>
      <c r="J38" s="83"/>
      <c r="K38" s="83"/>
      <c r="L38" s="83"/>
      <c r="M38" s="83"/>
      <c r="N38" s="83"/>
      <c r="O38" s="83"/>
    </row>
    <row r="39" spans="1:15" ht="20.25" x14ac:dyDescent="0.25">
      <c r="A39" s="103"/>
      <c r="B39" s="103"/>
      <c r="C39" s="105"/>
      <c r="D39" s="105"/>
      <c r="E39" s="83"/>
      <c r="F39" s="83"/>
      <c r="G39" s="83"/>
      <c r="H39" s="83"/>
      <c r="I39" s="83"/>
      <c r="J39" s="83"/>
      <c r="K39" s="83"/>
      <c r="L39" s="83"/>
      <c r="M39" s="83"/>
      <c r="N39" s="83"/>
      <c r="O39" s="83"/>
    </row>
    <row r="40" spans="1:15" ht="20.25" x14ac:dyDescent="0.25">
      <c r="A40" s="103"/>
      <c r="B40" s="103"/>
      <c r="C40" s="105"/>
      <c r="D40" s="105"/>
      <c r="E40" s="83"/>
      <c r="F40" s="83"/>
      <c r="G40" s="83"/>
      <c r="H40" s="83"/>
      <c r="I40" s="83"/>
      <c r="J40" s="83"/>
      <c r="K40" s="83"/>
      <c r="L40" s="83"/>
      <c r="M40" s="83"/>
      <c r="N40" s="83"/>
      <c r="O40" s="83"/>
    </row>
    <row r="41" spans="1:15" ht="20.25" x14ac:dyDescent="0.25">
      <c r="A41" s="103"/>
      <c r="B41" s="103"/>
      <c r="C41" s="105"/>
      <c r="D41" s="105"/>
      <c r="E41" s="83"/>
      <c r="F41" s="83"/>
      <c r="G41" s="83"/>
      <c r="H41" s="83"/>
      <c r="I41" s="83"/>
      <c r="J41" s="83"/>
      <c r="K41" s="83"/>
      <c r="L41" s="83"/>
      <c r="M41" s="83"/>
      <c r="N41" s="83"/>
      <c r="O41" s="83"/>
    </row>
    <row r="42" spans="1:15" ht="20.25" x14ac:dyDescent="0.25">
      <c r="A42" s="103"/>
      <c r="B42" s="103"/>
      <c r="C42" s="105"/>
      <c r="D42" s="105"/>
      <c r="E42" s="83"/>
      <c r="F42" s="83"/>
      <c r="G42" s="83"/>
      <c r="H42" s="83"/>
      <c r="I42" s="83"/>
      <c r="J42" s="83"/>
      <c r="K42" s="83"/>
      <c r="L42" s="83"/>
      <c r="M42" s="83"/>
      <c r="N42" s="83"/>
      <c r="O42" s="83"/>
    </row>
    <row r="43" spans="1:15" ht="20.25" x14ac:dyDescent="0.25">
      <c r="A43" s="103"/>
      <c r="B43" s="103"/>
      <c r="C43" s="105"/>
      <c r="D43" s="105"/>
      <c r="E43" s="83"/>
      <c r="F43" s="83"/>
      <c r="G43" s="83"/>
      <c r="H43" s="83"/>
      <c r="I43" s="83"/>
      <c r="J43" s="83"/>
      <c r="K43" s="83"/>
      <c r="L43" s="83"/>
      <c r="M43" s="83"/>
      <c r="N43" s="83"/>
      <c r="O43" s="83"/>
    </row>
    <row r="44" spans="1:15" ht="20.25" x14ac:dyDescent="0.25">
      <c r="A44" s="103"/>
      <c r="B44" s="103"/>
      <c r="C44" s="105"/>
      <c r="D44" s="105"/>
      <c r="E44" s="83"/>
      <c r="F44" s="83"/>
      <c r="G44" s="83"/>
      <c r="H44" s="83"/>
      <c r="I44" s="83"/>
      <c r="J44" s="83"/>
      <c r="K44" s="83"/>
      <c r="L44" s="83"/>
      <c r="M44" s="83"/>
      <c r="N44" s="83"/>
      <c r="O44" s="83"/>
    </row>
    <row r="45" spans="1:15" ht="20.25" x14ac:dyDescent="0.25">
      <c r="A45" s="103"/>
      <c r="B45" s="103"/>
      <c r="C45" s="105"/>
      <c r="D45" s="105"/>
      <c r="E45" s="83"/>
      <c r="F45" s="83"/>
      <c r="G45" s="83"/>
      <c r="H45" s="83"/>
      <c r="I45" s="83"/>
      <c r="J45" s="83"/>
      <c r="K45" s="83"/>
      <c r="L45" s="83"/>
      <c r="M45" s="83"/>
      <c r="N45" s="83"/>
      <c r="O45" s="83"/>
    </row>
    <row r="46" spans="1:15" ht="20.25" x14ac:dyDescent="0.25">
      <c r="A46" s="103"/>
      <c r="B46" s="103"/>
      <c r="C46" s="105"/>
      <c r="D46" s="105"/>
      <c r="E46" s="83"/>
      <c r="F46" s="83"/>
      <c r="G46" s="83"/>
      <c r="H46" s="83"/>
      <c r="I46" s="83"/>
      <c r="J46" s="83"/>
      <c r="K46" s="83"/>
      <c r="L46" s="83"/>
      <c r="M46" s="83"/>
      <c r="N46" s="83"/>
      <c r="O46" s="83"/>
    </row>
    <row r="47" spans="1:15" ht="20.25" x14ac:dyDescent="0.25">
      <c r="A47" s="103"/>
      <c r="B47" s="103"/>
      <c r="C47" s="105"/>
      <c r="D47" s="105"/>
      <c r="E47" s="83"/>
      <c r="F47" s="83"/>
      <c r="G47" s="83"/>
      <c r="H47" s="83"/>
      <c r="I47" s="83"/>
      <c r="J47" s="83"/>
      <c r="K47" s="83"/>
      <c r="L47" s="83"/>
      <c r="M47" s="83"/>
      <c r="N47" s="83"/>
      <c r="O47" s="83"/>
    </row>
    <row r="48" spans="1:15" ht="20.25" x14ac:dyDescent="0.25">
      <c r="A48" s="103"/>
      <c r="B48" s="103"/>
      <c r="C48" s="105"/>
      <c r="D48" s="105"/>
      <c r="E48" s="83"/>
      <c r="F48" s="83"/>
      <c r="G48" s="83"/>
      <c r="H48" s="83"/>
      <c r="I48" s="83"/>
      <c r="J48" s="83"/>
      <c r="K48" s="83"/>
      <c r="L48" s="83"/>
      <c r="M48" s="83"/>
      <c r="N48" s="83"/>
      <c r="O48" s="83"/>
    </row>
    <row r="49" spans="1:15" ht="20.25" x14ac:dyDescent="0.25">
      <c r="A49" s="103"/>
      <c r="B49" s="103"/>
      <c r="C49" s="105"/>
      <c r="D49" s="105"/>
      <c r="E49" s="83"/>
      <c r="F49" s="83"/>
      <c r="G49" s="83"/>
      <c r="H49" s="83"/>
      <c r="I49" s="83"/>
      <c r="J49" s="83"/>
      <c r="K49" s="83"/>
      <c r="L49" s="83"/>
      <c r="M49" s="83"/>
      <c r="N49" s="83"/>
      <c r="O49" s="83"/>
    </row>
    <row r="50" spans="1:15" ht="20.25" x14ac:dyDescent="0.25">
      <c r="A50" s="103"/>
      <c r="B50" s="103"/>
      <c r="C50" s="105"/>
      <c r="D50" s="105"/>
      <c r="E50" s="83"/>
      <c r="F50" s="83"/>
      <c r="G50" s="83"/>
      <c r="H50" s="83"/>
      <c r="I50" s="83"/>
      <c r="J50" s="83"/>
      <c r="K50" s="83"/>
      <c r="L50" s="83"/>
      <c r="M50" s="83"/>
      <c r="N50" s="83"/>
      <c r="O50" s="83"/>
    </row>
    <row r="51" spans="1:15" ht="20.25" x14ac:dyDescent="0.25">
      <c r="A51" s="103"/>
      <c r="B51" s="103"/>
      <c r="C51" s="105"/>
      <c r="D51" s="105"/>
      <c r="E51" s="83"/>
      <c r="F51" s="83"/>
      <c r="G51" s="83"/>
      <c r="H51" s="83"/>
      <c r="I51" s="83"/>
      <c r="J51" s="83"/>
      <c r="K51" s="83"/>
      <c r="L51" s="83"/>
      <c r="M51" s="83"/>
      <c r="N51" s="83"/>
      <c r="O51" s="83"/>
    </row>
    <row r="52" spans="1:15" ht="20.25" x14ac:dyDescent="0.25">
      <c r="A52" s="103"/>
      <c r="B52" s="23"/>
      <c r="C52" s="34"/>
      <c r="D52" s="34"/>
    </row>
    <row r="53" spans="1:15" ht="20.25" x14ac:dyDescent="0.25">
      <c r="A53" s="103"/>
      <c r="B53" s="23"/>
      <c r="C53" s="34"/>
      <c r="D53" s="34"/>
    </row>
    <row r="54" spans="1:15" ht="20.25" x14ac:dyDescent="0.25">
      <c r="A54" s="103"/>
      <c r="B54" s="23"/>
      <c r="C54" s="34"/>
      <c r="D54" s="34"/>
    </row>
    <row r="55" spans="1:15" ht="20.25" x14ac:dyDescent="0.25">
      <c r="A55" s="103"/>
      <c r="B55" s="23"/>
      <c r="C55" s="34"/>
      <c r="D55" s="34"/>
    </row>
    <row r="56" spans="1:15" ht="20.25" x14ac:dyDescent="0.25">
      <c r="A56" s="103"/>
      <c r="B56" s="23"/>
      <c r="C56" s="34"/>
      <c r="D56" s="34"/>
    </row>
    <row r="57" spans="1:15" ht="20.25" x14ac:dyDescent="0.25">
      <c r="A57" s="103"/>
      <c r="B57" s="23"/>
      <c r="C57" s="34"/>
      <c r="D57" s="34"/>
    </row>
    <row r="58" spans="1:15" ht="20.25" x14ac:dyDescent="0.25">
      <c r="A58" s="103"/>
      <c r="B58" s="23"/>
      <c r="C58" s="34"/>
      <c r="D58" s="34"/>
    </row>
    <row r="59" spans="1:15" ht="20.25" x14ac:dyDescent="0.25">
      <c r="A59" s="103"/>
      <c r="B59" s="23"/>
      <c r="C59" s="34"/>
      <c r="D59" s="34"/>
    </row>
    <row r="60" spans="1:15" ht="20.25" x14ac:dyDescent="0.25">
      <c r="A60" s="103"/>
      <c r="B60" s="23"/>
      <c r="C60" s="34"/>
      <c r="D60" s="34"/>
    </row>
    <row r="61" spans="1:15" ht="20.25" x14ac:dyDescent="0.25">
      <c r="A61" s="103"/>
      <c r="B61" s="23"/>
      <c r="C61" s="34"/>
      <c r="D61" s="34"/>
    </row>
    <row r="62" spans="1:15" ht="20.25" x14ac:dyDescent="0.25">
      <c r="A62" s="103"/>
      <c r="B62" s="23"/>
      <c r="C62" s="34"/>
      <c r="D62" s="34"/>
    </row>
    <row r="63" spans="1:15" ht="20.25" x14ac:dyDescent="0.25">
      <c r="A63" s="103"/>
      <c r="B63" s="23"/>
      <c r="C63" s="34"/>
      <c r="D63" s="34"/>
    </row>
    <row r="64" spans="1:15" ht="20.25" x14ac:dyDescent="0.25">
      <c r="A64" s="103"/>
      <c r="B64" s="23"/>
      <c r="C64" s="34"/>
      <c r="D64" s="34"/>
    </row>
    <row r="65" spans="1:4" ht="20.25" x14ac:dyDescent="0.25">
      <c r="A65" s="103"/>
      <c r="B65" s="23"/>
      <c r="C65" s="34"/>
      <c r="D65" s="34"/>
    </row>
    <row r="66" spans="1:4" ht="20.25" x14ac:dyDescent="0.25">
      <c r="A66" s="103"/>
      <c r="B66" s="23"/>
      <c r="C66" s="34"/>
      <c r="D66" s="34"/>
    </row>
    <row r="67" spans="1:4" ht="20.25" x14ac:dyDescent="0.25">
      <c r="A67" s="103"/>
      <c r="B67" s="23"/>
      <c r="C67" s="34"/>
      <c r="D67" s="34"/>
    </row>
    <row r="68" spans="1:4" ht="20.25" x14ac:dyDescent="0.25">
      <c r="A68" s="103"/>
      <c r="B68" s="23"/>
      <c r="C68" s="34"/>
      <c r="D68" s="34"/>
    </row>
    <row r="69" spans="1:4" ht="20.25" x14ac:dyDescent="0.25">
      <c r="A69" s="103"/>
      <c r="B69" s="23"/>
      <c r="C69" s="34"/>
      <c r="D69" s="34"/>
    </row>
    <row r="70" spans="1:4" ht="20.25" x14ac:dyDescent="0.25">
      <c r="A70" s="103"/>
      <c r="B70" s="23"/>
      <c r="C70" s="34"/>
      <c r="D70" s="34"/>
    </row>
    <row r="71" spans="1:4" ht="20.25" x14ac:dyDescent="0.25">
      <c r="A71" s="103"/>
      <c r="B71" s="23"/>
      <c r="C71" s="34"/>
      <c r="D71" s="34"/>
    </row>
    <row r="72" spans="1:4" ht="20.25" x14ac:dyDescent="0.25">
      <c r="A72" s="103"/>
      <c r="B72" s="23"/>
      <c r="C72" s="34"/>
      <c r="D72" s="34"/>
    </row>
    <row r="73" spans="1:4" ht="20.25" x14ac:dyDescent="0.25">
      <c r="A73" s="103"/>
      <c r="B73" s="23"/>
      <c r="C73" s="34"/>
      <c r="D73" s="34"/>
    </row>
    <row r="74" spans="1:4" ht="20.25" x14ac:dyDescent="0.25">
      <c r="A74" s="103"/>
      <c r="B74" s="23"/>
      <c r="C74" s="34"/>
      <c r="D74" s="34"/>
    </row>
    <row r="75" spans="1:4" ht="20.25" x14ac:dyDescent="0.25">
      <c r="A75" s="103"/>
      <c r="B75" s="23"/>
      <c r="C75" s="34"/>
      <c r="D75" s="34"/>
    </row>
    <row r="76" spans="1:4" ht="20.25" x14ac:dyDescent="0.25">
      <c r="A76" s="103"/>
      <c r="B76" s="23"/>
      <c r="C76" s="34"/>
      <c r="D76" s="34"/>
    </row>
    <row r="77" spans="1:4" ht="20.25" x14ac:dyDescent="0.25">
      <c r="A77" s="103"/>
      <c r="B77" s="23"/>
      <c r="C77" s="34"/>
      <c r="D77" s="34"/>
    </row>
    <row r="78" spans="1:4" ht="20.25" x14ac:dyDescent="0.25">
      <c r="A78" s="103"/>
      <c r="B78" s="23"/>
      <c r="C78" s="34"/>
      <c r="D78" s="34"/>
    </row>
    <row r="79" spans="1:4" ht="20.25" x14ac:dyDescent="0.25">
      <c r="A79" s="103"/>
      <c r="B79" s="23"/>
      <c r="C79" s="34"/>
      <c r="D79" s="34"/>
    </row>
    <row r="80" spans="1:4" ht="20.25" x14ac:dyDescent="0.25">
      <c r="A80" s="103"/>
      <c r="B80" s="23"/>
      <c r="C80" s="34"/>
      <c r="D80" s="34"/>
    </row>
    <row r="81" spans="1:4" ht="20.25" x14ac:dyDescent="0.25">
      <c r="A81" s="103"/>
      <c r="B81" s="23"/>
      <c r="C81" s="34"/>
      <c r="D81" s="34"/>
    </row>
    <row r="82" spans="1:4" ht="20.25" x14ac:dyDescent="0.25">
      <c r="A82" s="103"/>
      <c r="B82" s="23"/>
      <c r="C82" s="34"/>
      <c r="D82" s="34"/>
    </row>
    <row r="83" spans="1:4" ht="20.25" x14ac:dyDescent="0.25">
      <c r="A83" s="103"/>
      <c r="B83" s="23"/>
      <c r="C83" s="34"/>
      <c r="D83" s="34"/>
    </row>
    <row r="84" spans="1:4" ht="20.25" x14ac:dyDescent="0.25">
      <c r="A84" s="103"/>
      <c r="B84" s="23"/>
      <c r="C84" s="34"/>
      <c r="D84" s="34"/>
    </row>
    <row r="85" spans="1:4" ht="20.25" x14ac:dyDescent="0.25">
      <c r="A85" s="103"/>
      <c r="B85" s="23"/>
      <c r="C85" s="34"/>
      <c r="D85" s="34"/>
    </row>
    <row r="86" spans="1:4" ht="20.25" x14ac:dyDescent="0.25">
      <c r="A86" s="103"/>
      <c r="B86" s="23"/>
      <c r="C86" s="34"/>
      <c r="D86" s="34"/>
    </row>
    <row r="87" spans="1:4" ht="20.25" x14ac:dyDescent="0.25">
      <c r="A87" s="103"/>
      <c r="B87" s="23"/>
      <c r="C87" s="34"/>
      <c r="D87" s="34"/>
    </row>
    <row r="88" spans="1:4" ht="20.25" x14ac:dyDescent="0.25">
      <c r="A88" s="103"/>
      <c r="B88" s="23"/>
      <c r="C88" s="34"/>
      <c r="D88" s="34"/>
    </row>
    <row r="89" spans="1:4" ht="20.25" x14ac:dyDescent="0.25">
      <c r="A89" s="103"/>
      <c r="B89" s="23"/>
      <c r="C89" s="34"/>
      <c r="D89" s="34"/>
    </row>
    <row r="90" spans="1:4" ht="20.25" x14ac:dyDescent="0.25">
      <c r="A90" s="103"/>
      <c r="B90" s="23"/>
      <c r="C90" s="34"/>
      <c r="D90" s="34"/>
    </row>
    <row r="91" spans="1:4" ht="20.25" x14ac:dyDescent="0.25">
      <c r="A91" s="103"/>
      <c r="B91" s="23"/>
      <c r="C91" s="34"/>
      <c r="D91" s="34"/>
    </row>
    <row r="92" spans="1:4" ht="20.25" x14ac:dyDescent="0.25">
      <c r="A92" s="103"/>
      <c r="B92" s="23"/>
      <c r="C92" s="34"/>
      <c r="D92" s="34"/>
    </row>
    <row r="93" spans="1:4" ht="20.25" x14ac:dyDescent="0.25">
      <c r="A93" s="103"/>
      <c r="B93" s="23"/>
      <c r="C93" s="34"/>
      <c r="D93" s="34"/>
    </row>
    <row r="94" spans="1:4" ht="20.25" x14ac:dyDescent="0.25">
      <c r="A94" s="103"/>
      <c r="B94" s="23"/>
      <c r="C94" s="34"/>
      <c r="D94" s="34"/>
    </row>
    <row r="95" spans="1:4" ht="20.25" x14ac:dyDescent="0.25">
      <c r="A95" s="103"/>
      <c r="B95" s="23"/>
      <c r="C95" s="34"/>
      <c r="D95" s="34"/>
    </row>
    <row r="96" spans="1:4" ht="20.25" x14ac:dyDescent="0.25">
      <c r="A96" s="103"/>
      <c r="B96" s="23"/>
      <c r="C96" s="34"/>
      <c r="D96" s="34"/>
    </row>
    <row r="97" spans="1:4" ht="20.25" x14ac:dyDescent="0.25">
      <c r="A97" s="103"/>
      <c r="B97" s="23"/>
      <c r="C97" s="34"/>
      <c r="D97" s="34"/>
    </row>
    <row r="98" spans="1:4" ht="20.25" x14ac:dyDescent="0.25">
      <c r="A98" s="103"/>
      <c r="B98" s="23"/>
      <c r="C98" s="34"/>
      <c r="D98" s="34"/>
    </row>
    <row r="99" spans="1:4" ht="20.25" x14ac:dyDescent="0.25">
      <c r="A99" s="103"/>
      <c r="B99" s="23"/>
      <c r="C99" s="34"/>
      <c r="D99" s="34"/>
    </row>
    <row r="100" spans="1:4" ht="20.25" x14ac:dyDescent="0.25">
      <c r="A100" s="103"/>
      <c r="B100" s="23"/>
      <c r="C100" s="34"/>
      <c r="D100" s="34"/>
    </row>
    <row r="101" spans="1:4" ht="20.25" x14ac:dyDescent="0.25">
      <c r="A101" s="103"/>
      <c r="B101" s="23"/>
      <c r="C101" s="34"/>
      <c r="D101" s="34"/>
    </row>
    <row r="102" spans="1:4" ht="20.25" x14ac:dyDescent="0.25">
      <c r="A102" s="103"/>
      <c r="B102" s="23"/>
      <c r="C102" s="34"/>
      <c r="D102" s="34"/>
    </row>
    <row r="103" spans="1:4" ht="20.25" x14ac:dyDescent="0.25">
      <c r="A103" s="103"/>
      <c r="B103" s="23"/>
      <c r="C103" s="34"/>
      <c r="D103" s="34"/>
    </row>
    <row r="104" spans="1:4" ht="20.25" x14ac:dyDescent="0.25">
      <c r="A104" s="103"/>
      <c r="B104" s="23"/>
      <c r="C104" s="34"/>
      <c r="D104" s="34"/>
    </row>
    <row r="105" spans="1:4" ht="20.25" x14ac:dyDescent="0.25">
      <c r="A105" s="103"/>
      <c r="B105" s="23"/>
      <c r="C105" s="34"/>
      <c r="D105" s="34"/>
    </row>
    <row r="106" spans="1:4" ht="20.25" x14ac:dyDescent="0.25">
      <c r="A106" s="103"/>
      <c r="B106" s="23"/>
      <c r="C106" s="34"/>
      <c r="D106" s="34"/>
    </row>
    <row r="107" spans="1:4" ht="20.25" x14ac:dyDescent="0.25">
      <c r="A107" s="103"/>
      <c r="B107" s="23"/>
      <c r="C107" s="34"/>
      <c r="D107" s="34"/>
    </row>
    <row r="108" spans="1:4" ht="20.25" x14ac:dyDescent="0.25">
      <c r="A108" s="103"/>
      <c r="B108" s="23"/>
      <c r="C108" s="34"/>
      <c r="D108" s="34"/>
    </row>
    <row r="109" spans="1:4" ht="20.25" x14ac:dyDescent="0.25">
      <c r="A109" s="103"/>
      <c r="B109" s="23"/>
      <c r="C109" s="34"/>
      <c r="D109" s="34"/>
    </row>
    <row r="110" spans="1:4" ht="20.25" x14ac:dyDescent="0.25">
      <c r="A110" s="103"/>
      <c r="B110" s="23"/>
      <c r="C110" s="34"/>
      <c r="D110" s="34"/>
    </row>
    <row r="111" spans="1:4" ht="20.25" x14ac:dyDescent="0.25">
      <c r="A111" s="103"/>
      <c r="B111" s="23"/>
      <c r="C111" s="34"/>
      <c r="D111" s="34"/>
    </row>
    <row r="112" spans="1:4" ht="20.25" x14ac:dyDescent="0.25">
      <c r="A112" s="103"/>
      <c r="B112" s="23"/>
      <c r="C112" s="34"/>
      <c r="D112" s="34"/>
    </row>
    <row r="113" spans="1:4" ht="20.25" x14ac:dyDescent="0.25">
      <c r="A113" s="103"/>
      <c r="B113" s="23"/>
      <c r="C113" s="34"/>
      <c r="D113" s="34"/>
    </row>
    <row r="114" spans="1:4" ht="20.25" x14ac:dyDescent="0.25">
      <c r="A114" s="103"/>
      <c r="B114" s="23"/>
      <c r="C114" s="34"/>
      <c r="D114" s="34"/>
    </row>
    <row r="115" spans="1:4" ht="20.25" x14ac:dyDescent="0.25">
      <c r="A115" s="103"/>
      <c r="B115" s="23"/>
      <c r="C115" s="34"/>
      <c r="D115" s="34"/>
    </row>
    <row r="116" spans="1:4" ht="20.25" x14ac:dyDescent="0.25">
      <c r="A116" s="103"/>
      <c r="B116" s="23"/>
      <c r="C116" s="34"/>
      <c r="D116" s="34"/>
    </row>
    <row r="117" spans="1:4" ht="20.25" x14ac:dyDescent="0.25">
      <c r="A117" s="103"/>
      <c r="B117" s="23"/>
      <c r="C117" s="34"/>
      <c r="D117" s="34"/>
    </row>
    <row r="118" spans="1:4" ht="20.25" x14ac:dyDescent="0.25">
      <c r="A118" s="103"/>
      <c r="B118" s="23"/>
      <c r="C118" s="34"/>
      <c r="D118" s="34"/>
    </row>
    <row r="119" spans="1:4" ht="20.25" x14ac:dyDescent="0.25">
      <c r="A119" s="103"/>
      <c r="B119" s="23"/>
      <c r="C119" s="34"/>
      <c r="D119" s="34"/>
    </row>
    <row r="120" spans="1:4" ht="20.25" x14ac:dyDescent="0.25">
      <c r="A120" s="103"/>
      <c r="B120" s="23"/>
      <c r="C120" s="34"/>
      <c r="D120" s="34"/>
    </row>
    <row r="121" spans="1:4" ht="20.25" x14ac:dyDescent="0.25">
      <c r="A121" s="103"/>
      <c r="B121" s="23"/>
      <c r="C121" s="34"/>
      <c r="D121" s="34"/>
    </row>
    <row r="122" spans="1:4" ht="20.25" x14ac:dyDescent="0.25">
      <c r="A122" s="103"/>
      <c r="B122" s="23"/>
      <c r="C122" s="34"/>
      <c r="D122" s="34"/>
    </row>
    <row r="123" spans="1:4" ht="20.25" x14ac:dyDescent="0.25">
      <c r="A123" s="103"/>
      <c r="B123" s="23"/>
      <c r="C123" s="34"/>
      <c r="D123" s="34"/>
    </row>
    <row r="124" spans="1:4" ht="20.25" x14ac:dyDescent="0.25">
      <c r="A124" s="103"/>
      <c r="B124" s="23"/>
      <c r="C124" s="34"/>
      <c r="D124" s="34"/>
    </row>
    <row r="125" spans="1:4" ht="20.25" x14ac:dyDescent="0.25">
      <c r="A125" s="103"/>
      <c r="B125" s="23"/>
      <c r="C125" s="34"/>
      <c r="D125" s="34"/>
    </row>
    <row r="126" spans="1:4" ht="20.25" x14ac:dyDescent="0.25">
      <c r="A126" s="103"/>
      <c r="B126" s="23"/>
      <c r="C126" s="34"/>
      <c r="D126" s="34"/>
    </row>
    <row r="127" spans="1:4" ht="20.25" x14ac:dyDescent="0.25">
      <c r="A127" s="103"/>
      <c r="B127" s="23"/>
      <c r="C127" s="34"/>
      <c r="D127" s="34"/>
    </row>
    <row r="128" spans="1:4" ht="20.25" x14ac:dyDescent="0.25">
      <c r="A128" s="103"/>
      <c r="B128" s="23"/>
      <c r="C128" s="34"/>
      <c r="D128" s="34"/>
    </row>
    <row r="129" spans="1:4" ht="20.25" x14ac:dyDescent="0.25">
      <c r="A129" s="103"/>
      <c r="B129" s="23"/>
      <c r="C129" s="34"/>
      <c r="D129" s="34"/>
    </row>
    <row r="130" spans="1:4" ht="20.25" x14ac:dyDescent="0.25">
      <c r="A130" s="103"/>
      <c r="B130" s="23"/>
      <c r="C130" s="34"/>
      <c r="D130" s="34"/>
    </row>
    <row r="131" spans="1:4" ht="20.25" x14ac:dyDescent="0.25">
      <c r="A131" s="103"/>
      <c r="B131" s="23"/>
      <c r="C131" s="34"/>
      <c r="D131" s="34"/>
    </row>
    <row r="132" spans="1:4" ht="20.25" x14ac:dyDescent="0.25">
      <c r="A132" s="103"/>
      <c r="B132" s="23"/>
      <c r="C132" s="34"/>
      <c r="D132" s="34"/>
    </row>
    <row r="133" spans="1:4" ht="20.25" x14ac:dyDescent="0.25">
      <c r="A133" s="103"/>
      <c r="B133" s="23"/>
      <c r="C133" s="34"/>
      <c r="D133" s="34"/>
    </row>
    <row r="134" spans="1:4" ht="20.25" x14ac:dyDescent="0.25">
      <c r="A134" s="103"/>
      <c r="B134" s="23"/>
      <c r="C134" s="34"/>
      <c r="D134" s="34"/>
    </row>
    <row r="135" spans="1:4" ht="20.25" x14ac:dyDescent="0.25">
      <c r="A135" s="103"/>
      <c r="B135" s="23"/>
      <c r="C135" s="34"/>
      <c r="D135" s="34"/>
    </row>
    <row r="136" spans="1:4" ht="20.25" x14ac:dyDescent="0.25">
      <c r="A136" s="103"/>
      <c r="B136" s="23"/>
      <c r="C136" s="34"/>
      <c r="D136" s="34"/>
    </row>
    <row r="137" spans="1:4" ht="20.25" x14ac:dyDescent="0.25">
      <c r="A137" s="103"/>
      <c r="B137" s="23"/>
      <c r="C137" s="34"/>
      <c r="D137" s="34"/>
    </row>
    <row r="138" spans="1:4" ht="20.25" x14ac:dyDescent="0.25">
      <c r="A138" s="103"/>
      <c r="B138" s="23"/>
      <c r="C138" s="34"/>
      <c r="D138" s="34"/>
    </row>
    <row r="139" spans="1:4" ht="20.25" x14ac:dyDescent="0.25">
      <c r="A139" s="103"/>
      <c r="B139" s="23"/>
      <c r="C139" s="34"/>
      <c r="D139" s="34"/>
    </row>
    <row r="140" spans="1:4" ht="20.25" x14ac:dyDescent="0.25">
      <c r="A140" s="103"/>
      <c r="B140" s="23"/>
      <c r="C140" s="34"/>
      <c r="D140" s="34"/>
    </row>
    <row r="141" spans="1:4" ht="20.25" x14ac:dyDescent="0.25">
      <c r="A141" s="103"/>
      <c r="B141" s="23"/>
      <c r="C141" s="34"/>
      <c r="D141" s="34"/>
    </row>
    <row r="142" spans="1:4" ht="20.25" x14ac:dyDescent="0.25">
      <c r="A142" s="103"/>
      <c r="B142" s="23"/>
      <c r="C142" s="34"/>
      <c r="D142" s="34"/>
    </row>
    <row r="143" spans="1:4" ht="20.25" x14ac:dyDescent="0.25">
      <c r="A143" s="103"/>
      <c r="B143" s="23"/>
      <c r="C143" s="34"/>
      <c r="D143" s="34"/>
    </row>
    <row r="144" spans="1:4" ht="20.25" x14ac:dyDescent="0.25">
      <c r="A144" s="103"/>
      <c r="B144" s="23"/>
      <c r="C144" s="34"/>
      <c r="D144" s="34"/>
    </row>
    <row r="145" spans="1:4" ht="20.25" x14ac:dyDescent="0.25">
      <c r="A145" s="103"/>
      <c r="B145" s="23"/>
      <c r="C145" s="34"/>
      <c r="D145" s="34"/>
    </row>
    <row r="146" spans="1:4" ht="20.25" x14ac:dyDescent="0.25">
      <c r="A146" s="103"/>
      <c r="B146" s="23"/>
      <c r="C146" s="34"/>
      <c r="D146" s="34"/>
    </row>
    <row r="147" spans="1:4" ht="20.25" x14ac:dyDescent="0.25">
      <c r="A147" s="103"/>
      <c r="B147" s="23"/>
      <c r="C147" s="34"/>
      <c r="D147" s="34"/>
    </row>
    <row r="148" spans="1:4" ht="20.25" x14ac:dyDescent="0.25">
      <c r="A148" s="103"/>
      <c r="B148" s="23"/>
      <c r="C148" s="34"/>
      <c r="D148" s="34"/>
    </row>
    <row r="149" spans="1:4" ht="20.25" x14ac:dyDescent="0.25">
      <c r="A149" s="103"/>
      <c r="B149" s="23"/>
      <c r="C149" s="34"/>
      <c r="D149" s="34"/>
    </row>
    <row r="150" spans="1:4" ht="20.25" x14ac:dyDescent="0.25">
      <c r="A150" s="103"/>
      <c r="B150" s="23"/>
      <c r="C150" s="34"/>
      <c r="D150" s="34"/>
    </row>
    <row r="151" spans="1:4" ht="20.25" x14ac:dyDescent="0.25">
      <c r="A151" s="103"/>
      <c r="B151" s="23"/>
      <c r="C151" s="34"/>
      <c r="D151" s="34"/>
    </row>
    <row r="152" spans="1:4" ht="20.25" x14ac:dyDescent="0.25">
      <c r="A152" s="103"/>
      <c r="B152" s="23"/>
      <c r="C152" s="34"/>
      <c r="D152" s="34"/>
    </row>
    <row r="153" spans="1:4" ht="20.25" x14ac:dyDescent="0.25">
      <c r="A153" s="103"/>
      <c r="B153" s="23"/>
      <c r="C153" s="34"/>
      <c r="D153" s="34"/>
    </row>
    <row r="154" spans="1:4" ht="20.25" x14ac:dyDescent="0.25">
      <c r="A154" s="103"/>
      <c r="B154" s="23"/>
      <c r="C154" s="34"/>
      <c r="D154" s="34"/>
    </row>
    <row r="155" spans="1:4" ht="20.25" x14ac:dyDescent="0.25">
      <c r="A155" s="103"/>
      <c r="B155" s="23"/>
      <c r="C155" s="34"/>
      <c r="D155" s="34"/>
    </row>
    <row r="156" spans="1:4" ht="20.25" x14ac:dyDescent="0.25">
      <c r="A156" s="103"/>
      <c r="B156" s="23"/>
      <c r="C156" s="34"/>
      <c r="D156" s="34"/>
    </row>
    <row r="157" spans="1:4" ht="20.25" x14ac:dyDescent="0.25">
      <c r="A157" s="103"/>
      <c r="B157" s="23"/>
      <c r="C157" s="34"/>
      <c r="D157" s="34"/>
    </row>
    <row r="158" spans="1:4" ht="20.25" x14ac:dyDescent="0.25">
      <c r="A158" s="103"/>
      <c r="B158" s="23"/>
      <c r="C158" s="34"/>
      <c r="D158" s="34"/>
    </row>
    <row r="159" spans="1:4" ht="20.25" x14ac:dyDescent="0.25">
      <c r="A159" s="103"/>
      <c r="B159" s="23"/>
      <c r="C159" s="34"/>
      <c r="D159" s="34"/>
    </row>
    <row r="160" spans="1:4" ht="20.25" x14ac:dyDescent="0.25">
      <c r="A160" s="103"/>
      <c r="B160" s="23"/>
      <c r="C160" s="34"/>
      <c r="D160" s="34"/>
    </row>
    <row r="161" spans="1:4" ht="20.25" x14ac:dyDescent="0.25">
      <c r="A161" s="103"/>
      <c r="B161" s="23"/>
      <c r="C161" s="34"/>
      <c r="D161" s="34"/>
    </row>
    <row r="162" spans="1:4" ht="20.25" x14ac:dyDescent="0.25">
      <c r="A162" s="103"/>
      <c r="B162" s="23"/>
      <c r="C162" s="34"/>
      <c r="D162" s="34"/>
    </row>
    <row r="163" spans="1:4" ht="20.25" x14ac:dyDescent="0.25">
      <c r="A163" s="103"/>
      <c r="B163" s="23"/>
      <c r="C163" s="34"/>
      <c r="D163" s="34"/>
    </row>
    <row r="164" spans="1:4" ht="20.25" x14ac:dyDescent="0.25">
      <c r="A164" s="103"/>
      <c r="B164" s="23"/>
      <c r="C164" s="34"/>
      <c r="D164" s="34"/>
    </row>
    <row r="165" spans="1:4" ht="20.25" x14ac:dyDescent="0.25">
      <c r="A165" s="103"/>
      <c r="B165" s="23"/>
      <c r="C165" s="34"/>
      <c r="D165" s="34"/>
    </row>
    <row r="166" spans="1:4" ht="20.25" x14ac:dyDescent="0.25">
      <c r="A166" s="103"/>
      <c r="B166" s="23"/>
      <c r="C166" s="34"/>
      <c r="D166" s="34"/>
    </row>
    <row r="167" spans="1:4" ht="20.25" x14ac:dyDescent="0.25">
      <c r="A167" s="103"/>
      <c r="B167" s="23"/>
      <c r="C167" s="34"/>
      <c r="D167" s="34"/>
    </row>
    <row r="168" spans="1:4" ht="20.25" x14ac:dyDescent="0.25">
      <c r="A168" s="103"/>
      <c r="B168" s="23"/>
      <c r="C168" s="34"/>
      <c r="D168" s="34"/>
    </row>
    <row r="169" spans="1:4" ht="20.25" x14ac:dyDescent="0.25">
      <c r="A169" s="103"/>
      <c r="B169" s="23"/>
      <c r="C169" s="34"/>
      <c r="D169" s="34"/>
    </row>
    <row r="170" spans="1:4" ht="20.25" x14ac:dyDescent="0.25">
      <c r="A170" s="103"/>
      <c r="B170" s="23"/>
      <c r="C170" s="34"/>
      <c r="D170" s="34"/>
    </row>
    <row r="171" spans="1:4" ht="20.25" x14ac:dyDescent="0.25">
      <c r="A171" s="103"/>
      <c r="B171" s="23"/>
      <c r="C171" s="34"/>
      <c r="D171" s="34"/>
    </row>
    <row r="172" spans="1:4" ht="20.25" x14ac:dyDescent="0.25">
      <c r="A172" s="103"/>
      <c r="B172" s="23"/>
      <c r="C172" s="34"/>
      <c r="D172" s="34"/>
    </row>
    <row r="173" spans="1:4" ht="20.25" x14ac:dyDescent="0.25">
      <c r="A173" s="103"/>
      <c r="B173" s="23"/>
      <c r="C173" s="34"/>
      <c r="D173" s="34"/>
    </row>
    <row r="174" spans="1:4" ht="20.25" x14ac:dyDescent="0.25">
      <c r="A174" s="103"/>
      <c r="B174" s="23"/>
      <c r="C174" s="34"/>
      <c r="D174" s="34"/>
    </row>
    <row r="175" spans="1:4" ht="20.25" x14ac:dyDescent="0.25">
      <c r="A175" s="103"/>
      <c r="B175" s="23"/>
      <c r="C175" s="34"/>
      <c r="D175" s="34"/>
    </row>
    <row r="176" spans="1:4" ht="20.25" x14ac:dyDescent="0.25">
      <c r="A176" s="103"/>
      <c r="B176" s="23"/>
      <c r="C176" s="34"/>
      <c r="D176" s="34"/>
    </row>
    <row r="177" spans="1:4" ht="20.25" x14ac:dyDescent="0.25">
      <c r="A177" s="103"/>
      <c r="B177" s="23"/>
      <c r="C177" s="34"/>
      <c r="D177" s="34"/>
    </row>
    <row r="178" spans="1:4" ht="20.25" x14ac:dyDescent="0.25">
      <c r="A178" s="103"/>
      <c r="B178" s="23"/>
      <c r="C178" s="34"/>
      <c r="D178" s="34"/>
    </row>
    <row r="179" spans="1:4" ht="20.25" x14ac:dyDescent="0.25">
      <c r="A179" s="103"/>
      <c r="B179" s="23"/>
      <c r="C179" s="34"/>
      <c r="D179" s="34"/>
    </row>
    <row r="180" spans="1:4" ht="20.25" x14ac:dyDescent="0.25">
      <c r="A180" s="103"/>
      <c r="B180" s="23"/>
      <c r="C180" s="34"/>
      <c r="D180" s="34"/>
    </row>
    <row r="181" spans="1:4" ht="20.25" x14ac:dyDescent="0.25">
      <c r="A181" s="103"/>
      <c r="B181" s="23"/>
      <c r="C181" s="34"/>
      <c r="D181" s="34"/>
    </row>
    <row r="182" spans="1:4" ht="20.25" x14ac:dyDescent="0.25">
      <c r="A182" s="103"/>
      <c r="B182" s="23"/>
      <c r="C182" s="34"/>
      <c r="D182" s="34"/>
    </row>
    <row r="183" spans="1:4" ht="20.25" x14ac:dyDescent="0.25">
      <c r="A183" s="103"/>
      <c r="B183" s="23"/>
      <c r="C183" s="34"/>
      <c r="D183" s="34"/>
    </row>
    <row r="184" spans="1:4" ht="20.25" x14ac:dyDescent="0.25">
      <c r="A184" s="103"/>
      <c r="B184" s="23"/>
      <c r="C184" s="34"/>
      <c r="D184" s="34"/>
    </row>
    <row r="185" spans="1:4" ht="20.25" x14ac:dyDescent="0.25">
      <c r="A185" s="103"/>
      <c r="B185" s="23"/>
      <c r="C185" s="34"/>
      <c r="D185" s="34"/>
    </row>
    <row r="186" spans="1:4" ht="20.25" x14ac:dyDescent="0.25">
      <c r="A186" s="103"/>
      <c r="B186" s="23"/>
      <c r="C186" s="34"/>
      <c r="D186" s="34"/>
    </row>
    <row r="187" spans="1:4" ht="20.25" x14ac:dyDescent="0.25">
      <c r="A187" s="103"/>
      <c r="B187" s="23"/>
      <c r="C187" s="34"/>
      <c r="D187" s="34"/>
    </row>
    <row r="188" spans="1:4" ht="20.25" x14ac:dyDescent="0.25">
      <c r="A188" s="103"/>
      <c r="B188" s="23"/>
      <c r="C188" s="34"/>
      <c r="D188" s="34"/>
    </row>
    <row r="189" spans="1:4" ht="20.25" x14ac:dyDescent="0.25">
      <c r="A189" s="103"/>
      <c r="B189" s="23"/>
      <c r="C189" s="34"/>
      <c r="D189" s="34"/>
    </row>
    <row r="190" spans="1:4" ht="20.25" x14ac:dyDescent="0.25">
      <c r="A190" s="103"/>
      <c r="B190" s="23"/>
      <c r="C190" s="34"/>
      <c r="D190" s="34"/>
    </row>
    <row r="191" spans="1:4" ht="20.25" x14ac:dyDescent="0.25">
      <c r="A191" s="103"/>
      <c r="B191" s="23"/>
      <c r="C191" s="34"/>
      <c r="D191" s="34"/>
    </row>
    <row r="192" spans="1:4" ht="20.25" x14ac:dyDescent="0.25">
      <c r="A192" s="103"/>
      <c r="B192" s="23"/>
      <c r="C192" s="34"/>
      <c r="D192" s="34"/>
    </row>
    <row r="193" spans="1:4" ht="20.25" x14ac:dyDescent="0.25">
      <c r="A193" s="103"/>
      <c r="B193" s="23"/>
      <c r="C193" s="34"/>
      <c r="D193" s="34"/>
    </row>
    <row r="194" spans="1:4" ht="20.25" x14ac:dyDescent="0.25">
      <c r="A194" s="103"/>
      <c r="B194" s="23"/>
      <c r="C194" s="34"/>
      <c r="D194" s="34"/>
    </row>
    <row r="195" spans="1:4" ht="20.25" x14ac:dyDescent="0.25">
      <c r="A195" s="103"/>
      <c r="B195" s="23"/>
      <c r="C195" s="34"/>
      <c r="D195" s="34"/>
    </row>
    <row r="196" spans="1:4" ht="20.25" x14ac:dyDescent="0.25">
      <c r="A196" s="103"/>
      <c r="B196" s="23"/>
      <c r="C196" s="34"/>
      <c r="D196" s="34"/>
    </row>
    <row r="197" spans="1:4" ht="20.25" x14ac:dyDescent="0.25">
      <c r="A197" s="103"/>
      <c r="B197" s="23"/>
      <c r="C197" s="34"/>
      <c r="D197" s="34"/>
    </row>
    <row r="198" spans="1:4" ht="20.25" x14ac:dyDescent="0.25">
      <c r="A198" s="103"/>
      <c r="B198" s="23"/>
      <c r="C198" s="34"/>
      <c r="D198" s="34"/>
    </row>
    <row r="199" spans="1:4" ht="20.25" x14ac:dyDescent="0.25">
      <c r="A199" s="103"/>
      <c r="B199" s="23"/>
      <c r="C199" s="34"/>
      <c r="D199" s="34"/>
    </row>
    <row r="200" spans="1:4" ht="20.25" x14ac:dyDescent="0.25">
      <c r="A200" s="103"/>
      <c r="B200" s="23"/>
      <c r="C200" s="34"/>
      <c r="D200" s="34"/>
    </row>
    <row r="201" spans="1:4" ht="20.25" x14ac:dyDescent="0.25">
      <c r="A201" s="103"/>
      <c r="B201" s="23"/>
      <c r="C201" s="34"/>
      <c r="D201" s="34"/>
    </row>
    <row r="202" spans="1:4" ht="20.25" x14ac:dyDescent="0.25">
      <c r="A202" s="103"/>
      <c r="B202" s="23"/>
      <c r="C202" s="34"/>
      <c r="D202" s="34"/>
    </row>
    <row r="203" spans="1:4" ht="20.25" x14ac:dyDescent="0.25">
      <c r="A203" s="103"/>
      <c r="B203" s="23"/>
      <c r="C203" s="34"/>
      <c r="D203" s="34"/>
    </row>
    <row r="204" spans="1:4" ht="20.25" x14ac:dyDescent="0.25">
      <c r="A204" s="103"/>
      <c r="B204" s="23"/>
      <c r="C204" s="34"/>
      <c r="D204" s="34"/>
    </row>
    <row r="205" spans="1:4" ht="20.25" x14ac:dyDescent="0.25">
      <c r="A205" s="103"/>
      <c r="B205" s="23"/>
      <c r="C205" s="34"/>
      <c r="D205" s="34"/>
    </row>
    <row r="206" spans="1:4" ht="20.25" x14ac:dyDescent="0.25">
      <c r="A206" s="103"/>
      <c r="B206" s="23"/>
      <c r="C206" s="34"/>
      <c r="D206" s="34"/>
    </row>
    <row r="207" spans="1:4" ht="20.25" x14ac:dyDescent="0.25">
      <c r="A207" s="103"/>
      <c r="B207" s="23"/>
      <c r="C207" s="34"/>
      <c r="D207" s="34"/>
    </row>
    <row r="208" spans="1:4" x14ac:dyDescent="0.25">
      <c r="A208" s="83"/>
      <c r="B208" s="23"/>
      <c r="C208" s="23"/>
      <c r="D208" s="23"/>
    </row>
    <row r="209" spans="1:8" ht="20.25" x14ac:dyDescent="0.25">
      <c r="A209" s="83"/>
      <c r="B209" s="30" t="s">
        <v>84</v>
      </c>
      <c r="C209" s="30" t="s">
        <v>139</v>
      </c>
      <c r="D209" s="33" t="s">
        <v>84</v>
      </c>
      <c r="E209" s="33" t="s">
        <v>139</v>
      </c>
    </row>
    <row r="210" spans="1:8" ht="21" x14ac:dyDescent="0.35">
      <c r="A210" s="83"/>
      <c r="B210" s="31" t="s">
        <v>86</v>
      </c>
      <c r="C210" s="31" t="s">
        <v>54</v>
      </c>
      <c r="D210" t="s">
        <v>86</v>
      </c>
      <c r="F210" t="str">
        <f>IF(NOT(ISBLANK(D210)),D210,IF(NOT(ISBLANK(E210)),"     "&amp;E210,FALSE))</f>
        <v>Afectación Económica o presupuestal</v>
      </c>
      <c r="G210" t="s">
        <v>86</v>
      </c>
      <c r="H210" t="str">
        <f>IF(NOT(ISERROR(MATCH(G210,_xlfn.ANCHORARRAY(B221),0))),F223&amp;"Por favor no seleccionar los criterios de impacto",G210)</f>
        <v>❌Por favor no seleccionar los criterios de impacto</v>
      </c>
    </row>
    <row r="211" spans="1:8" ht="21" x14ac:dyDescent="0.35">
      <c r="A211" s="83"/>
      <c r="B211" s="31" t="s">
        <v>86</v>
      </c>
      <c r="C211" s="31" t="s">
        <v>89</v>
      </c>
      <c r="E211" t="s">
        <v>54</v>
      </c>
      <c r="F211" t="str">
        <f t="shared" ref="F211:F221" si="0">IF(NOT(ISBLANK(D211)),D211,IF(NOT(ISBLANK(E211)),"     "&amp;E211,FALSE))</f>
        <v xml:space="preserve">     Afectación menor a 10 SMLMV .</v>
      </c>
    </row>
    <row r="212" spans="1:8" ht="21" x14ac:dyDescent="0.35">
      <c r="A212" s="83"/>
      <c r="B212" s="31" t="s">
        <v>86</v>
      </c>
      <c r="C212" s="31" t="s">
        <v>90</v>
      </c>
      <c r="E212" t="s">
        <v>89</v>
      </c>
      <c r="F212" t="str">
        <f t="shared" si="0"/>
        <v xml:space="preserve">     Entre 10 y 50 SMLMV </v>
      </c>
    </row>
    <row r="213" spans="1:8" ht="21" x14ac:dyDescent="0.35">
      <c r="A213" s="83"/>
      <c r="B213" s="31" t="s">
        <v>86</v>
      </c>
      <c r="C213" s="31" t="s">
        <v>91</v>
      </c>
      <c r="E213" t="s">
        <v>90</v>
      </c>
      <c r="F213" t="str">
        <f t="shared" si="0"/>
        <v xml:space="preserve">     Entre 50 y 100 SMLMV </v>
      </c>
    </row>
    <row r="214" spans="1:8" ht="21" x14ac:dyDescent="0.35">
      <c r="A214" s="83"/>
      <c r="B214" s="31" t="s">
        <v>86</v>
      </c>
      <c r="C214" s="31" t="s">
        <v>92</v>
      </c>
      <c r="E214" t="s">
        <v>91</v>
      </c>
      <c r="F214" t="str">
        <f t="shared" si="0"/>
        <v xml:space="preserve">     Entre 100 y 500 SMLMV </v>
      </c>
    </row>
    <row r="215" spans="1:8" ht="21" x14ac:dyDescent="0.35">
      <c r="A215" s="83"/>
      <c r="B215" s="31" t="s">
        <v>53</v>
      </c>
      <c r="C215" s="31" t="s">
        <v>93</v>
      </c>
      <c r="E215" t="s">
        <v>92</v>
      </c>
      <c r="F215" t="str">
        <f t="shared" si="0"/>
        <v xml:space="preserve">     Mayor a 500 SMLMV </v>
      </c>
    </row>
    <row r="216" spans="1:8" ht="21" x14ac:dyDescent="0.35">
      <c r="A216" s="83"/>
      <c r="B216" s="31" t="s">
        <v>53</v>
      </c>
      <c r="C216" s="31" t="s">
        <v>94</v>
      </c>
      <c r="D216" t="s">
        <v>53</v>
      </c>
      <c r="F216" t="str">
        <f t="shared" si="0"/>
        <v>Pérdida Reputacional</v>
      </c>
    </row>
    <row r="217" spans="1:8" ht="21" x14ac:dyDescent="0.35">
      <c r="A217" s="83"/>
      <c r="B217" s="31" t="s">
        <v>53</v>
      </c>
      <c r="C217" s="31" t="s">
        <v>96</v>
      </c>
      <c r="E217" t="s">
        <v>93</v>
      </c>
      <c r="F217" t="str">
        <f t="shared" si="0"/>
        <v xml:space="preserve">     El riesgo afecta la imagen de alguna área de la organización</v>
      </c>
    </row>
    <row r="218" spans="1:8" ht="21" x14ac:dyDescent="0.35">
      <c r="A218" s="83"/>
      <c r="B218" s="31" t="s">
        <v>53</v>
      </c>
      <c r="C218" s="31" t="s">
        <v>95</v>
      </c>
      <c r="E218" t="s">
        <v>94</v>
      </c>
      <c r="F218" t="str">
        <f t="shared" si="0"/>
        <v xml:space="preserve">     El riesgo afecta la imagen de la entidad internamente, de conocimiento general, nivel interno, de junta dircetiva y accionistas y/o de provedores</v>
      </c>
    </row>
    <row r="219" spans="1:8" ht="21" x14ac:dyDescent="0.35">
      <c r="A219" s="83"/>
      <c r="B219" s="31" t="s">
        <v>53</v>
      </c>
      <c r="C219" s="31" t="s">
        <v>114</v>
      </c>
      <c r="E219" t="s">
        <v>96</v>
      </c>
      <c r="F219" t="str">
        <f t="shared" si="0"/>
        <v xml:space="preserve">     El riesgo afecta la imagen de la entidad con algunos usuarios de relevancia frente al logro de los objetivos</v>
      </c>
    </row>
    <row r="220" spans="1:8" x14ac:dyDescent="0.25">
      <c r="A220" s="83"/>
      <c r="B220" s="32"/>
      <c r="C220" s="32"/>
      <c r="E220" t="s">
        <v>95</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114</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141</v>
      </c>
    </row>
    <row r="224" spans="1:8" x14ac:dyDescent="0.25">
      <c r="B224" s="22"/>
      <c r="C224" s="22"/>
      <c r="F224" s="35" t="s">
        <v>142</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heetViews>
  <sheetFormatPr baseColWidth="10" defaultColWidth="14.28515625" defaultRowHeight="12.75" x14ac:dyDescent="0.2"/>
  <cols>
    <col min="1" max="2" width="14.28515625" style="88"/>
    <col min="3" max="3" width="17" style="88" customWidth="1"/>
    <col min="4" max="4" width="14.28515625" style="88"/>
    <col min="5" max="5" width="46" style="88" customWidth="1"/>
    <col min="6" max="16384" width="14.28515625" style="88"/>
  </cols>
  <sheetData>
    <row r="1" spans="2:6" ht="24" customHeight="1" thickBot="1" x14ac:dyDescent="0.25">
      <c r="B1" s="373" t="s">
        <v>74</v>
      </c>
      <c r="C1" s="374"/>
      <c r="D1" s="374"/>
      <c r="E1" s="374"/>
      <c r="F1" s="375"/>
    </row>
    <row r="2" spans="2:6" ht="16.5" thickBot="1" x14ac:dyDescent="0.3">
      <c r="B2" s="89"/>
      <c r="C2" s="89"/>
      <c r="D2" s="89"/>
      <c r="E2" s="89"/>
      <c r="F2" s="89"/>
    </row>
    <row r="3" spans="2:6" ht="16.5" thickBot="1" x14ac:dyDescent="0.25">
      <c r="B3" s="377" t="s">
        <v>60</v>
      </c>
      <c r="C3" s="378"/>
      <c r="D3" s="378"/>
      <c r="E3" s="101" t="s">
        <v>61</v>
      </c>
      <c r="F3" s="102" t="s">
        <v>62</v>
      </c>
    </row>
    <row r="4" spans="2:6" ht="31.5" x14ac:dyDescent="0.2">
      <c r="B4" s="379" t="s">
        <v>63</v>
      </c>
      <c r="C4" s="381" t="s">
        <v>13</v>
      </c>
      <c r="D4" s="90" t="s">
        <v>14</v>
      </c>
      <c r="E4" s="91" t="s">
        <v>64</v>
      </c>
      <c r="F4" s="92">
        <v>0.25</v>
      </c>
    </row>
    <row r="5" spans="2:6" ht="47.25" x14ac:dyDescent="0.2">
      <c r="B5" s="380"/>
      <c r="C5" s="382"/>
      <c r="D5" s="93" t="s">
        <v>15</v>
      </c>
      <c r="E5" s="94" t="s">
        <v>65</v>
      </c>
      <c r="F5" s="95">
        <v>0.15</v>
      </c>
    </row>
    <row r="6" spans="2:6" ht="47.25" x14ac:dyDescent="0.2">
      <c r="B6" s="380"/>
      <c r="C6" s="382"/>
      <c r="D6" s="93" t="s">
        <v>16</v>
      </c>
      <c r="E6" s="94" t="s">
        <v>66</v>
      </c>
      <c r="F6" s="95">
        <v>0.1</v>
      </c>
    </row>
    <row r="7" spans="2:6" ht="63" x14ac:dyDescent="0.2">
      <c r="B7" s="380"/>
      <c r="C7" s="382" t="s">
        <v>17</v>
      </c>
      <c r="D7" s="93" t="s">
        <v>10</v>
      </c>
      <c r="E7" s="94" t="s">
        <v>67</v>
      </c>
      <c r="F7" s="95">
        <v>0.25</v>
      </c>
    </row>
    <row r="8" spans="2:6" ht="31.5" x14ac:dyDescent="0.2">
      <c r="B8" s="380"/>
      <c r="C8" s="382"/>
      <c r="D8" s="93" t="s">
        <v>9</v>
      </c>
      <c r="E8" s="94" t="s">
        <v>68</v>
      </c>
      <c r="F8" s="95">
        <v>0.15</v>
      </c>
    </row>
    <row r="9" spans="2:6" ht="47.25" x14ac:dyDescent="0.2">
      <c r="B9" s="380" t="s">
        <v>156</v>
      </c>
      <c r="C9" s="382" t="s">
        <v>18</v>
      </c>
      <c r="D9" s="93" t="s">
        <v>19</v>
      </c>
      <c r="E9" s="94" t="s">
        <v>69</v>
      </c>
      <c r="F9" s="96" t="s">
        <v>70</v>
      </c>
    </row>
    <row r="10" spans="2:6" ht="63" x14ac:dyDescent="0.2">
      <c r="B10" s="380"/>
      <c r="C10" s="382"/>
      <c r="D10" s="93" t="s">
        <v>20</v>
      </c>
      <c r="E10" s="94" t="s">
        <v>71</v>
      </c>
      <c r="F10" s="96" t="s">
        <v>70</v>
      </c>
    </row>
    <row r="11" spans="2:6" ht="47.25" x14ac:dyDescent="0.2">
      <c r="B11" s="380"/>
      <c r="C11" s="382" t="s">
        <v>21</v>
      </c>
      <c r="D11" s="93" t="s">
        <v>22</v>
      </c>
      <c r="E11" s="94" t="s">
        <v>72</v>
      </c>
      <c r="F11" s="96" t="s">
        <v>70</v>
      </c>
    </row>
    <row r="12" spans="2:6" ht="47.25" x14ac:dyDescent="0.2">
      <c r="B12" s="380"/>
      <c r="C12" s="382"/>
      <c r="D12" s="93" t="s">
        <v>23</v>
      </c>
      <c r="E12" s="94" t="s">
        <v>73</v>
      </c>
      <c r="F12" s="96" t="s">
        <v>70</v>
      </c>
    </row>
    <row r="13" spans="2:6" ht="31.5" x14ac:dyDescent="0.2">
      <c r="B13" s="380"/>
      <c r="C13" s="382" t="s">
        <v>24</v>
      </c>
      <c r="D13" s="93" t="s">
        <v>115</v>
      </c>
      <c r="E13" s="94" t="s">
        <v>118</v>
      </c>
      <c r="F13" s="96" t="s">
        <v>70</v>
      </c>
    </row>
    <row r="14" spans="2:6" ht="32.25" thickBot="1" x14ac:dyDescent="0.25">
      <c r="B14" s="383"/>
      <c r="C14" s="384"/>
      <c r="D14" s="97" t="s">
        <v>116</v>
      </c>
      <c r="E14" s="98" t="s">
        <v>117</v>
      </c>
      <c r="F14" s="99" t="s">
        <v>70</v>
      </c>
    </row>
    <row r="15" spans="2:6" ht="49.5" customHeight="1" x14ac:dyDescent="0.2">
      <c r="B15" s="376" t="s">
        <v>153</v>
      </c>
      <c r="C15" s="376"/>
      <c r="D15" s="376"/>
      <c r="E15" s="376"/>
      <c r="F15" s="376"/>
    </row>
    <row r="16" spans="2:6" ht="27" customHeight="1" x14ac:dyDescent="0.25">
      <c r="B16" s="100"/>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2"/>
  <sheetViews>
    <sheetView workbookViewId="0">
      <selection activeCell="D2" sqref="D2"/>
    </sheetView>
  </sheetViews>
  <sheetFormatPr baseColWidth="10" defaultRowHeight="15" x14ac:dyDescent="0.25"/>
  <cols>
    <col min="2" max="2" width="18.5703125" customWidth="1"/>
    <col min="4" max="4" width="12" bestFit="1" customWidth="1"/>
  </cols>
  <sheetData>
    <row r="1" spans="2:4" x14ac:dyDescent="0.25">
      <c r="B1" s="145">
        <v>123703634972</v>
      </c>
      <c r="C1">
        <v>4869</v>
      </c>
      <c r="D1">
        <f>B2/C1</f>
        <v>25406373.993017048</v>
      </c>
    </row>
    <row r="2" spans="2:4" x14ac:dyDescent="0.25">
      <c r="B2">
        <v>123703634972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RowHeight="15" x14ac:dyDescent="0.25"/>
  <sheetData>
    <row r="2" spans="2:5" x14ac:dyDescent="0.25">
      <c r="B2" t="s">
        <v>31</v>
      </c>
      <c r="E2" t="s">
        <v>128</v>
      </c>
    </row>
    <row r="3" spans="2:5" x14ac:dyDescent="0.25">
      <c r="B3" t="s">
        <v>32</v>
      </c>
      <c r="E3" t="s">
        <v>127</v>
      </c>
    </row>
    <row r="4" spans="2:5" x14ac:dyDescent="0.25">
      <c r="B4" t="s">
        <v>132</v>
      </c>
      <c r="E4" t="s">
        <v>129</v>
      </c>
    </row>
    <row r="5" spans="2:5" x14ac:dyDescent="0.25">
      <c r="B5" t="s">
        <v>131</v>
      </c>
    </row>
    <row r="8" spans="2:5" x14ac:dyDescent="0.25">
      <c r="B8" t="s">
        <v>82</v>
      </c>
    </row>
    <row r="9" spans="2:5" x14ac:dyDescent="0.25">
      <c r="B9" t="s">
        <v>38</v>
      </c>
    </row>
    <row r="10" spans="2:5" x14ac:dyDescent="0.25">
      <c r="B10" t="s">
        <v>39</v>
      </c>
    </row>
    <row r="13" spans="2:5" x14ac:dyDescent="0.25">
      <c r="B13" t="s">
        <v>125</v>
      </c>
    </row>
    <row r="14" spans="2:5" x14ac:dyDescent="0.25">
      <c r="B14" t="s">
        <v>119</v>
      </c>
    </row>
    <row r="15" spans="2:5" x14ac:dyDescent="0.25">
      <c r="B15" t="s">
        <v>122</v>
      </c>
    </row>
    <row r="16" spans="2:5" x14ac:dyDescent="0.25">
      <c r="B16" t="s">
        <v>120</v>
      </c>
    </row>
    <row r="17" spans="2:2" x14ac:dyDescent="0.25">
      <c r="B17" t="s">
        <v>121</v>
      </c>
    </row>
    <row r="18" spans="2:2" x14ac:dyDescent="0.25">
      <c r="B18" t="s">
        <v>123</v>
      </c>
    </row>
    <row r="19" spans="2:2" x14ac:dyDescent="0.25">
      <c r="B19" t="s">
        <v>124</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vt:lpstr>
      <vt:lpstr>Mapa final</vt:lpstr>
      <vt:lpstr>Matriz Calor Inherente</vt:lpstr>
      <vt:lpstr>Matriz Calor Residual</vt:lpstr>
      <vt:lpstr>Tabla probabilidad</vt:lpstr>
      <vt:lpstr>Tabla Impacto</vt:lpstr>
      <vt:lpstr>Tabla Valoración controles</vt:lpstr>
      <vt:lpstr>Hoja2</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Yineth Perez</cp:lastModifiedBy>
  <cp:lastPrinted>2020-05-13T01:12:22Z</cp:lastPrinted>
  <dcterms:created xsi:type="dcterms:W3CDTF">2020-03-24T23:12:47Z</dcterms:created>
  <dcterms:modified xsi:type="dcterms:W3CDTF">2025-02-10T16:43:36Z</dcterms:modified>
</cp:coreProperties>
</file>